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23250" windowHeight="125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T13" i="5"/>
  <c r="S14" i="5"/>
  <c r="T14" i="5"/>
  <c r="S15" i="5"/>
  <c r="T15"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V7" i="5"/>
  <c r="V8" i="5"/>
  <c r="V9" i="5"/>
  <c r="V10" i="5"/>
  <c r="V11" i="5"/>
  <c r="V12" i="5"/>
  <c r="V13" i="5"/>
  <c r="V14" i="5"/>
  <c r="V15" i="5"/>
  <c r="V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H17" i="5"/>
  <c r="I17" i="5"/>
  <c r="J17" i="5"/>
  <c r="R17" i="5"/>
  <c r="F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6" i="5"/>
  <c r="S13"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<sst xmlns="http://schemas.openxmlformats.org/spreadsheetml/2006/main" count="22435" uniqueCount="15813">
  <si>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</si>
  <si>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</si>
  <si>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</si>
  <si>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</si>
  <si>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</si>
  <si>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</si>
  <si>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</si>
  <si>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</si>
  <si>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</si>
  <si>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</si>
  <si>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</si>
  <si>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</si>
  <si>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</si>
  <si>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</si>
  <si>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</si>
  <si>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</si>
  <si>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</si>
  <si>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</si>
  <si>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</si>
  <si>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</si>
  <si>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</si>
  <si>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</si>
  <si>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</si>
  <si>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</si>
  <si>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</si>
  <si>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</si>
  <si>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</si>
  <si>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</si>
  <si>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</si>
  <si>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</si>
  <si>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</si>
  <si>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</si>
  <si>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</si>
  <si>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</si>
  <si>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</si>
  <si>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</si>
  <si>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</si>
  <si>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</si>
  <si>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</si>
  <si>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</si>
  <si>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</si>
  <si>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</si>
  <si>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</si>
  <si>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</si>
  <si>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</si>
  <si>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</si>
  <si>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</si>
  <si>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</si>
  <si>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</si>
  <si>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</si>
  <si>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</si>
  <si>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</si>
  <si>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</si>
  <si>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</si>
  <si>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</si>
  <si>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</si>
  <si>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</si>
  <si>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</si>
  <si>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</si>
  <si>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</si>
  <si>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</si>
  <si>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</si>
  <si>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</si>
  <si>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</si>
  <si>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</si>
  <si>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</si>
  <si>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</si>
  <si>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</si>
  <si>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</si>
  <si>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</si>
  <si>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</si>
  <si>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</si>
  <si>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</si>
  <si>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</si>
  <si>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</si>
  <si>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</si>
  <si>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</si>
  <si>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</si>
  <si>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</si>
  <si>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</si>
  <si>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</si>
  <si>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</si>
  <si>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</si>
  <si>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</si>
  <si>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</si>
  <si>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</si>
  <si>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</si>
  <si>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</si>
  <si>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</si>
  <si>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</si>
  <si>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</si>
  <si>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</si>
  <si>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</si>
  <si>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</si>
  <si>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</si>
  <si>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</si>
  <si>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</si>
  <si>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</si>
  <si>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</si>
  <si>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</si>
  <si>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</si>
  <si>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</si>
  <si>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</si>
  <si>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</si>
  <si>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</si>
  <si>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</si>
  <si>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</si>
  <si>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</si>
  <si>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</si>
  <si>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</si>
  <si>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</si>
  <si>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</si>
  <si>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</si>
  <si>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</si>
  <si>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</si>
  <si>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</si>
  <si>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</si>
  <si>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</si>
  <si>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</si>
  <si>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</si>
  <si>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</si>
  <si>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</si>
  <si>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</si>
  <si>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</si>
  <si>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</si>
  <si>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</si>
  <si>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</si>
  <si>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</si>
  <si>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</si>
  <si>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</si>
  <si>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</si>
  <si>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</si>
  <si>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</si>
  <si>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</si>
  <si>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</si>
  <si>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</si>
  <si>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</si>
  <si>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</si>
  <si>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</si>
  <si>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</si>
  <si>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</si>
  <si>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</si>
  <si>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</si>
  <si>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</si>
  <si>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</si>
  <si>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</si>
  <si>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</si>
  <si>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</si>
  <si>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</si>
  <si>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</si>
  <si>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</si>
  <si>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</si>
  <si>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</si>
  <si>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</si>
  <si>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</si>
  <si>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</si>
  <si>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</si>
  <si>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</si>
  <si>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</si>
  <si>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</si>
  <si>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</si>
  <si>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</si>
  <si>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</si>
  <si>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</si>
  <si>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</si>
  <si>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</si>
  <si>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</si>
  <si>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</si>
  <si>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</si>
  <si>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</si>
  <si>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</si>
  <si>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</si>
  <si>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</si>
  <si>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</si>
  <si>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</si>
  <si>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</si>
  <si>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</si>
  <si>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</si>
  <si>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</si>
  <si>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</si>
  <si>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</si>
  <si>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</si>
  <si>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</si>
  <si>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</si>
  <si>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</si>
  <si>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</si>
  <si>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</si>
  <si>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</si>
  <si>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</si>
  <si>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</si>
  <si>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</si>
  <si>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</si>
  <si>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</si>
  <si>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</si>
  <si>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</si>
  <si>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</si>
  <si>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</si>
  <si>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</si>
  <si>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</si>
  <si>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</si>
  <si>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</si>
  <si>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</si>
  <si>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</si>
  <si>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</si>
  <si>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</si>
  <si>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</si>
  <si>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</si>
  <si>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</si>
  <si>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</si>
  <si>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</si>
  <si>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</si>
  <si>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</si>
  <si>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</si>
  <si>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</si>
  <si>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</si>
  <si>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</si>
  <si>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</si>
  <si>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</si>
  <si>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</si>
  <si>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</si>
  <si>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</si>
  <si>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</si>
  <si>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</si>
  <si>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</si>
  <si>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</si>
  <si>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</si>
  <si>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</si>
  <si>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</si>
  <si>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</si>
  <si>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</si>
  <si>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</si>
  <si>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</si>
  <si>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</si>
  <si>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</si>
  <si>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</si>
  <si>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</si>
  <si>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</si>
  <si>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</si>
  <si>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</si>
  <si>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</si>
  <si>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</si>
  <si>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</si>
  <si>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</si>
  <si>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</si>
  <si>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</si>
  <si>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</si>
  <si>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</si>
  <si>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</si>
  <si>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</si>
  <si>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</si>
  <si>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</si>
  <si>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</si>
  <si>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</si>
  <si>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</si>
  <si>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</si>
  <si>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</si>
  <si>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</si>
  <si>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</si>
  <si>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</si>
  <si>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</si>
  <si>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</si>
  <si>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</si>
  <si>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</si>
  <si>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</si>
  <si>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</si>
  <si>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</si>
  <si>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</si>
  <si>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</si>
  <si>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</si>
  <si>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</si>
  <si>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</si>
  <si>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</si>
  <si>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</si>
  <si>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</si>
  <si>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</si>
  <si>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</si>
  <si>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</si>
  <si>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</si>
  <si>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</si>
  <si>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</si>
  <si>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</si>
  <si>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</si>
  <si>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</si>
  <si>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</si>
  <si>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</si>
  <si>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</si>
  <si>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</si>
  <si>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</si>
  <si>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</si>
  <si>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</si>
  <si>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</si>
  <si>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</si>
  <si>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</si>
  <si>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</si>
  <si>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</si>
  <si>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</si>
  <si>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</si>
  <si>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</si>
  <si>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</si>
  <si>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</si>
  <si>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</si>
  <si>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</si>
  <si>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</si>
  <si>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</si>
  <si>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</si>
  <si>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</si>
  <si>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</si>
  <si>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</si>
  <si>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</si>
  <si>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</si>
  <si>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</si>
  <si>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</si>
  <si>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</si>
  <si>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</si>
  <si>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</si>
  <si>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</si>
  <si>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</si>
  <si>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</si>
  <si>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</si>
  <si>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</si>
  <si>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</si>
  <si>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</si>
  <si>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</si>
  <si>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</si>
  <si>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</si>
  <si>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</si>
  <si>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</si>
  <si>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</si>
  <si>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</si>
  <si>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</si>
  <si>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</si>
  <si>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</si>
  <si>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</si>
  <si>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</si>
  <si>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</si>
  <si>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</si>
  <si>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</si>
  <si>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</si>
  <si>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</si>
  <si>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</si>
  <si>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</si>
  <si>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</si>
  <si>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</si>
  <si>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</si>
  <si>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</si>
  <si>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</si>
  <si>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</si>
  <si>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</si>
  <si>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</si>
  <si>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</si>
  <si>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</si>
  <si>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</si>
  <si>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</si>
  <si>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</si>
  <si>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</si>
  <si>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</si>
  <si>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</si>
  <si>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</si>
  <si>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</si>
  <si>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</si>
  <si>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</si>
  <si>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</si>
  <si>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</si>
  <si>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</si>
  <si>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</si>
  <si>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</si>
  <si>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</si>
  <si>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</si>
  <si>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</si>
  <si>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</si>
  <si>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</si>
  <si>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</si>
  <si>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</si>
  <si>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</si>
  <si>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</si>
  <si>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</si>
  <si>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</si>
  <si>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</si>
  <si>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</si>
  <si>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</si>
  <si>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</si>
  <si>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</si>
  <si>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</si>
  <si>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</si>
  <si>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</si>
  <si>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</si>
  <si>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</si>
  <si>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</si>
  <si>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</si>
  <si>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</si>
  <si>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</si>
  <si>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</si>
  <si>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</si>
  <si>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</si>
  <si>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</si>
  <si>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</si>
  <si>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</si>
  <si>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</si>
  <si>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</si>
  <si>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</si>
  <si>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</si>
  <si>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</si>
  <si>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</si>
  <si>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</si>
  <si>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</si>
  <si>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</si>
  <si>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</si>
  <si>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</si>
  <si>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</si>
  <si>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</si>
  <si>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</si>
  <si>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</si>
  <si>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</si>
  <si>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</si>
  <si>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</si>
  <si>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</si>
  <si>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</si>
  <si>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</si>
  <si>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</si>
  <si>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</si>
  <si>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</si>
  <si>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</si>
  <si>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</si>
  <si>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</si>
  <si>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</si>
  <si>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</si>
  <si>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</si>
  <si>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</si>
  <si>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</si>
  <si>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</si>
  <si>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</si>
  <si>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</si>
  <si>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</si>
  <si>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</si>
  <si>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</si>
  <si>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</si>
  <si>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</si>
  <si>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</si>
  <si>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</si>
  <si>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</si>
  <si>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</si>
  <si>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</si>
  <si>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</si>
  <si>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</si>
  <si>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</si>
  <si>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</si>
  <si>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</si>
  <si>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</si>
  <si>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</si>
  <si>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</si>
  <si>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</si>
  <si>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</si>
  <si>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</si>
  <si>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</si>
  <si>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</si>
  <si>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</si>
  <si>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</si>
  <si>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</si>
  <si>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</si>
  <si>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</si>
  <si>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</si>
  <si>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</si>
  <si>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</si>
  <si>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</si>
  <si>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</si>
  <si>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</si>
  <si>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</si>
  <si>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</si>
  <si>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</si>
  <si>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</si>
  <si>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</si>
  <si>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</si>
  <si>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</si>
  <si>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</si>
  <si>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</si>
  <si>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</si>
  <si>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</si>
  <si>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</si>
  <si>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</si>
  <si>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</si>
  <si>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</si>
  <si>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</si>
  <si>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</si>
  <si>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</si>
  <si>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</si>
  <si>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</si>
  <si>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</si>
  <si>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</si>
  <si>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</si>
  <si>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</si>
  <si>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</si>
  <si>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</si>
  <si>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</si>
  <si>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</si>
  <si>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</si>
  <si>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</si>
  <si>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</si>
  <si>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</si>
  <si>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</si>
  <si>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</si>
  <si>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</si>
  <si>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</si>
  <si>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</si>
  <si>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</si>
  <si>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</si>
  <si>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</si>
  <si>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</si>
  <si>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</si>
  <si>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</si>
  <si>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</si>
  <si>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</si>
  <si>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</si>
  <si>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</si>
  <si>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</si>
  <si>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</si>
  <si>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</si>
  <si>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</si>
  <si>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</si>
  <si>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</si>
  <si>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</si>
  <si>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</si>
  <si>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</si>
  <si>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</si>
  <si>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</si>
  <si>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</si>
  <si>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</si>
  <si>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</si>
  <si>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</si>
  <si>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</si>
  <si>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</si>
  <si>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</si>
  <si>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</si>
  <si>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</si>
  <si>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</si>
  <si>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</si>
  <si>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</si>
  <si>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</si>
  <si>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</si>
  <si>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</si>
  <si>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</si>
  <si>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</si>
  <si>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</si>
  <si>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</si>
  <si>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</si>
  <si>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</si>
  <si>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</si>
  <si>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</si>
  <si>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</si>
  <si>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</si>
  <si>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</si>
  <si>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</si>
  <si>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</si>
  <si>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</si>
  <si>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</si>
  <si>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</si>
  <si>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</si>
  <si>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</si>
  <si>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</si>
  <si>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</si>
  <si>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</si>
  <si>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</si>
  <si>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</si>
  <si>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</si>
  <si>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</si>
  <si>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</si>
  <si>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</si>
  <si>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</si>
  <si>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</si>
  <si>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</si>
  <si>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</si>
  <si>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</si>
  <si>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</si>
  <si>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</si>
  <si>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</si>
  <si>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</si>
  <si>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</si>
  <si>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</si>
  <si>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</si>
  <si>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</si>
  <si>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</si>
  <si>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</si>
  <si>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</si>
  <si>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</si>
  <si>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</si>
  <si>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</si>
  <si>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</si>
  <si>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</si>
  <si>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</si>
  <si>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</si>
  <si>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</si>
  <si>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</si>
  <si>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</si>
  <si>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</si>
  <si>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</si>
  <si>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</si>
  <si>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</si>
  <si>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</si>
  <si>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</si>
  <si>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</si>
  <si>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</si>
  <si>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</si>
  <si>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</si>
  <si>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</si>
  <si>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</si>
  <si>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</si>
  <si>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</si>
  <si>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</si>
  <si>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</si>
  <si>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</si>
  <si>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</si>
  <si>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</si>
  <si>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</si>
  <si>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</si>
  <si>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</si>
  <si>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</si>
  <si>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</si>
  <si>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</si>
  <si>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</si>
  <si>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</si>
  <si>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</si>
  <si>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</si>
  <si>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</si>
  <si>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</si>
  <si>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</si>
  <si>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</si>
  <si>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</si>
  <si>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</si>
  <si>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</si>
  <si>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</si>
  <si>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</si>
  <si>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</si>
  <si>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</si>
  <si>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</si>
  <si>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</si>
  <si>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</si>
  <si>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</si>
  <si>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</si>
  <si>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</si>
  <si>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</si>
  <si>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</si>
  <si>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</si>
  <si>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</si>
  <si>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</si>
  <si>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</si>
  <si>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</si>
  <si>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</si>
  <si>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</si>
  <si>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</si>
  <si>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</si>
  <si>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</si>
  <si>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</si>
  <si>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</si>
  <si>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</si>
  <si>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</si>
  <si>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</si>
  <si>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</si>
  <si>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</si>
  <si>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</si>
  <si>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</si>
  <si>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</si>
  <si>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</si>
  <si>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</si>
  <si>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</si>
  <si>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</si>
  <si>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</si>
  <si>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</si>
  <si>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</si>
  <si>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</si>
  <si>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</si>
  <si>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</si>
  <si>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</si>
  <si>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</si>
  <si>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</si>
  <si>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</si>
  <si>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</si>
  <si>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</si>
  <si>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</si>
  <si>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</si>
  <si>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</si>
  <si>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</si>
  <si>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</si>
  <si>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</si>
  <si>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</si>
  <si>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</si>
  <si>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</si>
  <si>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</si>
  <si>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</si>
  <si>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</si>
  <si>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</si>
  <si>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</si>
  <si>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</si>
  <si>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</si>
  <si>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</si>
  <si>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</si>
  <si>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</si>
  <si>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</si>
  <si>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</si>
  <si>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</si>
  <si>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</si>
  <si>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</si>
  <si>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</si>
  <si>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</si>
  <si>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</si>
  <si>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</si>
  <si>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</si>
  <si>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</si>
  <si>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</si>
  <si>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</si>
  <si>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</si>
  <si>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</si>
  <si>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</si>
  <si>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</si>
  <si>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</si>
  <si>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</si>
  <si>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</si>
  <si>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</si>
  <si>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</si>
  <si>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</si>
  <si>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</si>
  <si>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</si>
  <si>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</si>
  <si>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</si>
  <si>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</si>
  <si>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</si>
  <si>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</si>
  <si>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</si>
  <si>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</si>
  <si>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</si>
  <si>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</si>
  <si>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</si>
  <si>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</si>
  <si>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</si>
  <si>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</si>
  <si>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</si>
  <si>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</si>
  <si>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</si>
  <si>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</si>
  <si>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</si>
  <si>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</si>
  <si>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</si>
  <si>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</si>
  <si>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</si>
  <si>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</si>
  <si>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</si>
  <si>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</si>
  <si>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</si>
  <si>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</si>
  <si>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</si>
  <si>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</si>
  <si>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</si>
  <si>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</si>
  <si>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</si>
  <si>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</si>
  <si>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</si>
  <si>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</si>
  <si>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</si>
  <si>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</si>
  <si>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</si>
  <si>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</si>
  <si>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</si>
  <si>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</si>
  <si>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</si>
  <si>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</si>
  <si>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</si>
  <si>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</si>
  <si>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</si>
  <si>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</si>
  <si>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</si>
  <si>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</si>
  <si>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</si>
  <si>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</si>
  <si>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</si>
  <si>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</si>
  <si>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</si>
  <si>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</si>
  <si>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</si>
  <si>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</si>
  <si>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</si>
  <si>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</si>
  <si>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</si>
  <si>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</si>
  <si>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</si>
  <si>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</si>
  <si>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</si>
  <si>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</si>
  <si>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</si>
  <si>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</si>
  <si>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</si>
  <si>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</si>
  <si>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</si>
  <si>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</si>
  <si>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</si>
  <si>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</si>
  <si>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</si>
  <si>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</si>
  <si>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</si>
  <si>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</si>
  <si>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</si>
  <si>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</si>
  <si>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</si>
  <si>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</si>
  <si>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</si>
  <si>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</si>
  <si>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</si>
  <si>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</si>
  <si>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</si>
  <si>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</si>
  <si>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</si>
  <si>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</si>
  <si>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</si>
  <si>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</si>
  <si>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</si>
  <si>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</si>
  <si>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</si>
  <si>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</si>
  <si>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</si>
  <si>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</si>
  <si>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</si>
  <si>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</si>
  <si>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</si>
  <si>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</si>
  <si>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</si>
  <si>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</si>
  <si>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</si>
  <si>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</si>
  <si>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</si>
  <si>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</si>
  <si>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</si>
  <si>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</si>
  <si>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</si>
  <si>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</si>
  <si>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</si>
  <si>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</si>
  <si>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</si>
  <si>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</si>
  <si>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</si>
  <si>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</si>
  <si>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</si>
  <si>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</si>
  <si>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</si>
  <si>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</si>
  <si>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</si>
  <si>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</si>
  <si>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</si>
  <si>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</si>
  <si>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</si>
  <si>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</si>
  <si>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</si>
  <si>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</si>
  <si>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</si>
  <si>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</si>
  <si>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</si>
  <si>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</si>
  <si>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</si>
  <si>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</si>
  <si>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</si>
  <si>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</si>
  <si>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</si>
  <si>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</si>
  <si>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</si>
  <si>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</si>
  <si>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</si>
  <si>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</si>
  <si>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</si>
  <si>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</si>
  <si>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</si>
  <si>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</si>
  <si>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</si>
  <si>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</si>
  <si>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</si>
  <si>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</si>
  <si>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</si>
  <si>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</si>
  <si>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</si>
  <si>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</si>
  <si>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</si>
  <si>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</si>
  <si>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</si>
  <si>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</si>
  <si>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</si>
  <si>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</si>
  <si>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</si>
  <si>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</si>
  <si>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</si>
  <si>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</si>
  <si>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</si>
  <si>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</si>
  <si>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</si>
  <si>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</si>
  <si>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</si>
  <si>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</si>
  <si>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</si>
  <si>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</si>
  <si>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</si>
  <si>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</si>
  <si>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</si>
  <si>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</si>
  <si>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</si>
  <si>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</si>
  <si>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</si>
  <si>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</si>
  <si>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</si>
  <si>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</si>
  <si>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</si>
  <si>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</si>
  <si>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</si>
  <si>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</si>
  <si>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</si>
  <si>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</si>
  <si>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</si>
  <si>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</si>
  <si>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</si>
  <si>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</si>
  <si>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</si>
  <si>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</si>
  <si>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</si>
  <si>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</si>
  <si>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</si>
  <si>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</si>
  <si>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</si>
  <si>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</si>
  <si>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</si>
  <si>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</si>
  <si>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</si>
  <si>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</si>
  <si>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</si>
  <si>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</si>
  <si>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</si>
  <si>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</si>
  <si>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</si>
  <si>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</si>
  <si>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</si>
  <si>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</si>
  <si>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</si>
  <si>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</si>
  <si>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</si>
  <si>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</si>
  <si>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</si>
  <si>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</si>
  <si>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</si>
  <si>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</si>
  <si>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</si>
  <si>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</si>
  <si>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</si>
  <si>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</si>
  <si>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</si>
  <si>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</si>
  <si>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</si>
  <si>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</si>
  <si>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</si>
  <si>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</si>
  <si>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</si>
  <si>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</si>
  <si>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</si>
  <si>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</si>
  <si>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</si>
  <si>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</si>
  <si>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</si>
  <si>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</si>
  <si>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</si>
  <si>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</si>
  <si>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</si>
  <si>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</si>
  <si>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</si>
  <si>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</si>
  <si>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</si>
  <si>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</si>
  <si>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</si>
  <si>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</si>
  <si>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</si>
  <si>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</si>
  <si>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</si>
  <si>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</si>
  <si>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</si>
  <si>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</si>
  <si>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</si>
  <si>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</si>
  <si>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</si>
  <si>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</si>
  <si>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</si>
  <si>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</si>
  <si>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</si>
  <si>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</si>
  <si>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</si>
  <si>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</si>
  <si>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</si>
  <si>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</si>
  <si>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</si>
  <si>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</si>
  <si>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</si>
  <si>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</si>
  <si>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</si>
  <si>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</si>
  <si>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</si>
  <si>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</si>
  <si>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</si>
  <si>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</si>
  <si>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</si>
  <si>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</si>
  <si>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</si>
  <si>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</si>
  <si>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</si>
  <si>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</si>
  <si>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</si>
  <si>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</si>
  <si>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</si>
  <si>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</si>
  <si>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</si>
  <si>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</si>
  <si>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</si>
  <si>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</si>
  <si>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</si>
  <si>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</si>
  <si>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</si>
  <si>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</si>
  <si>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</si>
  <si>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</si>
  <si>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</si>
  <si>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</si>
  <si>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</si>
  <si>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</si>
  <si>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</si>
  <si>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</si>
  <si>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</si>
  <si>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</si>
  <si>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</si>
  <si>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</si>
  <si>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</si>
  <si>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</si>
  <si>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</si>
  <si>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</si>
  <si>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</si>
  <si>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</si>
  <si>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</si>
  <si>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</si>
  <si>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</si>
  <si>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</si>
  <si>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</si>
  <si>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</si>
  <si>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</si>
  <si>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</si>
  <si>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</si>
  <si>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</si>
  <si>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</si>
  <si>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</si>
  <si>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</si>
  <si>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</si>
  <si>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</si>
  <si>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</si>
  <si>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</si>
  <si>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</si>
  <si>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</si>
  <si>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</si>
  <si>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</si>
  <si>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</si>
  <si>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</si>
  <si>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</si>
  <si>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</si>
  <si>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</si>
  <si>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</si>
  <si>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</si>
  <si>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</si>
  <si>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</si>
  <si>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</si>
  <si>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</si>
  <si>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</si>
  <si>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</si>
  <si>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</si>
  <si>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</si>
  <si>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</si>
  <si>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</si>
  <si>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</si>
  <si>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</si>
  <si>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</si>
  <si>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</si>
  <si>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</si>
  <si>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</si>
  <si>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</si>
  <si>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</si>
  <si>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</si>
  <si>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</si>
  <si>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</si>
  <si>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</si>
  <si>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</si>
  <si>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</si>
  <si>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</si>
  <si>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</si>
  <si>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</si>
  <si>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</si>
  <si>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</si>
  <si>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</si>
  <si>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</si>
  <si>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</si>
  <si>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</si>
  <si>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</si>
  <si>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</si>
  <si>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</si>
  <si>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</si>
  <si>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</si>
  <si>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</si>
  <si>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</si>
  <si>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</si>
  <si>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</si>
  <si>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</si>
  <si>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</si>
  <si>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</si>
  <si>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</si>
  <si>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</si>
  <si>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</si>
  <si>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</si>
  <si>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</si>
  <si>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</si>
  <si>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</si>
  <si>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</si>
  <si>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</si>
  <si>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</si>
  <si>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</si>
  <si>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</si>
  <si>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</si>
  <si>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</si>
  <si>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</si>
  <si>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</si>
  <si>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</si>
  <si>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</si>
  <si>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</si>
  <si>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</si>
  <si>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</si>
  <si>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</si>
  <si>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</si>
  <si>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</si>
  <si>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</si>
  <si>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</si>
  <si>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</si>
  <si>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</si>
  <si>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</si>
  <si>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</si>
  <si>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</si>
  <si>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</si>
  <si>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</si>
  <si>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</si>
  <si>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</si>
  <si>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</si>
  <si>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</si>
  <si>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</si>
  <si>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</si>
  <si>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</si>
  <si>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</si>
  <si>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</si>
  <si>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</si>
  <si>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</si>
  <si>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</si>
  <si>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</si>
  <si>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</si>
  <si>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</si>
  <si>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</si>
  <si>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</si>
  <si>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</si>
  <si>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</si>
  <si>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</si>
  <si>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</si>
  <si>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</si>
  <si>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</si>
  <si>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</si>
  <si>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</si>
  <si>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</si>
  <si>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</si>
  <si>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</si>
  <si>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</si>
  <si>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</si>
  <si>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</si>
  <si>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</si>
  <si>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</si>
  <si>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</si>
  <si>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</si>
  <si>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</si>
  <si>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</si>
  <si>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</si>
  <si>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</si>
  <si>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</si>
  <si>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</si>
  <si>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</si>
  <si>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</si>
  <si>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</si>
  <si>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</si>
  <si>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</si>
  <si>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</si>
  <si>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</si>
  <si>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</si>
  <si>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</si>
  <si>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</si>
  <si>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</si>
  <si>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</si>
  <si>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</si>
  <si>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</si>
  <si>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</si>
  <si>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</si>
  <si>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</si>
  <si>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</si>
  <si>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</si>
  <si>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</si>
  <si>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</si>
  <si>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</si>
  <si>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</si>
  <si>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</si>
  <si>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</si>
  <si>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</si>
  <si>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</si>
  <si>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</si>
  <si>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</si>
  <si>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</si>
  <si>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</si>
  <si>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</si>
  <si>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</si>
  <si>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</si>
  <si>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</si>
  <si>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</si>
  <si>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</si>
  <si>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</si>
  <si>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</si>
  <si>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</si>
  <si>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</si>
  <si>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</si>
  <si>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</si>
  <si>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</si>
  <si>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</si>
  <si>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</si>
  <si>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</si>
  <si>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</si>
  <si>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</si>
  <si>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</si>
  <si>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</si>
  <si>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</si>
  <si>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</si>
  <si>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</si>
  <si>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</si>
  <si>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</si>
  <si>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</si>
  <si>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</si>
  <si>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</si>
  <si>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</si>
  <si>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</si>
  <si>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</si>
  <si>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</si>
  <si>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</si>
  <si>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</si>
  <si>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</si>
  <si>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</si>
  <si>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</si>
  <si>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</si>
  <si>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</si>
  <si>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</si>
  <si>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</si>
  <si>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</si>
  <si>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</si>
  <si>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</si>
  <si>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</si>
  <si>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</si>
  <si>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</si>
  <si>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</si>
  <si>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</si>
  <si>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</si>
  <si>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</si>
  <si>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</si>
  <si>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</si>
  <si>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</si>
  <si>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</si>
  <si>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</si>
  <si>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</si>
  <si>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</si>
  <si>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</si>
  <si>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</si>
  <si>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</si>
  <si>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</si>
  <si>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</si>
  <si>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</si>
  <si>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</si>
  <si>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</si>
  <si>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</si>
  <si>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</si>
  <si>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</si>
  <si>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</si>
  <si>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</si>
  <si>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</si>
  <si>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</si>
  <si>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</si>
  <si>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</si>
  <si>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</si>
  <si>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</si>
  <si>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</si>
  <si>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</si>
  <si>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</si>
  <si>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</si>
  <si>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</si>
  <si>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</si>
  <si>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</si>
  <si>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</si>
  <si>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</si>
  <si>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</si>
  <si>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</si>
  <si>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</si>
  <si>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</si>
  <si>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</si>
  <si>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</si>
  <si>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</si>
  <si>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</si>
  <si>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</si>
  <si>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</si>
  <si>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</si>
  <si>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</si>
  <si>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</si>
  <si>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</si>
  <si>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</si>
  <si>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</si>
  <si>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</si>
  <si>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</si>
  <si>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</si>
  <si>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</si>
  <si>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</si>
  <si>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</si>
  <si>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</si>
  <si>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</si>
  <si>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</si>
  <si>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</si>
  <si>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</si>
  <si>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</si>
  <si>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</si>
  <si>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</si>
  <si>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</si>
  <si>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</si>
  <si>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</si>
  <si>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</si>
  <si>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</si>
  <si>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</si>
  <si>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</si>
  <si>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</si>
  <si>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</si>
  <si>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</si>
  <si>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</si>
  <si>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</si>
  <si>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</si>
  <si>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</si>
  <si>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</si>
  <si>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</si>
  <si>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</si>
  <si>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</si>
  <si>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</si>
  <si>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</si>
  <si>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</si>
  <si>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</si>
  <si>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</si>
  <si>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</si>
  <si>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</si>
  <si>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</si>
  <si>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</si>
  <si>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</si>
  <si>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</si>
  <si>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</si>
  <si>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</si>
  <si>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</si>
  <si>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</si>
  <si>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</si>
  <si>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</si>
  <si>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</si>
  <si>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</si>
  <si>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</si>
  <si>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</si>
  <si>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</si>
  <si>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</si>
  <si>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</si>
  <si>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</si>
  <si>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</si>
  <si>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</si>
  <si>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</si>
  <si>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</si>
  <si>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</si>
  <si>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</si>
  <si>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</si>
  <si>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</si>
  <si>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</si>
  <si>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</si>
  <si>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</si>
  <si>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</si>
  <si>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</si>
  <si>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</si>
  <si>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</si>
  <si>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</si>
  <si>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</si>
  <si>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</si>
  <si>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</si>
  <si>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</si>
  <si>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</si>
  <si>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</si>
  <si>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</si>
  <si>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</si>
  <si>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</si>
  <si>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</si>
  <si>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</si>
  <si>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</si>
  <si>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</si>
  <si>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</si>
  <si>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</si>
  <si>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</si>
  <si>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</si>
  <si>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</si>
  <si>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</si>
  <si>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</si>
  <si>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</si>
  <si>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</si>
  <si>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</si>
  <si>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</si>
  <si>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</si>
  <si>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</si>
  <si>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</si>
  <si>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</si>
  <si>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</si>
  <si>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</si>
  <si>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</si>
  <si>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</si>
  <si>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</si>
  <si>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</si>
  <si>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</si>
  <si>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</si>
  <si>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</si>
  <si>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</si>
  <si>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</si>
  <si>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</si>
  <si>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</si>
  <si>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</si>
  <si>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</si>
  <si>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</si>
  <si>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</si>
  <si>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</si>
  <si>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</si>
  <si>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</si>
  <si>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</si>
  <si>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</si>
  <si>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</si>
  <si>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</si>
  <si>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</si>
  <si>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</si>
  <si>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</si>
  <si>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</si>
  <si>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</si>
  <si>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</si>
  <si>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</si>
  <si>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</si>
  <si>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</si>
  <si>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</si>
  <si>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</si>
  <si>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</si>
  <si>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</si>
  <si>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</si>
  <si>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</si>
  <si>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</si>
  <si>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</si>
  <si>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</si>
  <si>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</si>
  <si>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</si>
  <si>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</si>
  <si>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</si>
  <si>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</si>
  <si>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</si>
  <si>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</si>
  <si>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</si>
  <si>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</si>
  <si>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</si>
  <si>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</si>
  <si>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</si>
  <si>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</si>
  <si>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</si>
  <si>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</si>
  <si>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</si>
  <si>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</si>
  <si>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</si>
  <si>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</si>
  <si>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</si>
  <si>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</si>
  <si>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</si>
  <si>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</si>
  <si>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</si>
  <si>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</si>
  <si>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</si>
  <si>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</si>
  <si>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</si>
  <si>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</si>
  <si>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</si>
  <si>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</si>
  <si>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</si>
  <si>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</si>
  <si>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</si>
  <si>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</si>
  <si>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</si>
  <si>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</si>
  <si>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</si>
  <si>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</si>
  <si>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</si>
  <si>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</si>
  <si>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</si>
  <si>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</si>
  <si>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</si>
  <si>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</si>
  <si>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</si>
  <si>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</si>
  <si>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</si>
  <si>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</si>
  <si>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</si>
  <si>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</si>
  <si>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</si>
  <si>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</si>
  <si>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</si>
  <si>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</si>
  <si>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</si>
  <si>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</si>
  <si>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</si>
  <si>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</si>
  <si>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</si>
  <si>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</si>
  <si>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</si>
  <si>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</si>
  <si>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</si>
  <si>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</si>
  <si>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</si>
  <si>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</si>
  <si>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</si>
  <si>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</si>
  <si>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</si>
  <si>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</si>
  <si>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</si>
  <si>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</si>
  <si>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</si>
  <si>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</si>
  <si>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</si>
  <si>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</si>
  <si>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</si>
  <si>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</si>
  <si>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</si>
  <si>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</si>
  <si>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</si>
  <si>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</si>
  <si>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</si>
  <si>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</si>
  <si>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</si>
  <si>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</si>
  <si>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</si>
  <si>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</si>
  <si>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</si>
  <si>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</si>
  <si>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</si>
  <si>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</si>
  <si>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</si>
  <si>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</si>
  <si>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</si>
  <si>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</si>
  <si>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</si>
  <si>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</si>
  <si>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</si>
  <si>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</si>
  <si>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</si>
  <si>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</si>
  <si>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</si>
  <si>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</si>
  <si>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</si>
  <si>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</si>
  <si>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</si>
  <si>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</si>
  <si>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</si>
  <si>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</si>
  <si>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</si>
  <si>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</si>
  <si>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</si>
  <si>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</si>
  <si>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</si>
  <si>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</si>
  <si>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</si>
  <si>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</si>
  <si>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</si>
  <si>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</si>
  <si>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</si>
  <si>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</si>
  <si>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</si>
  <si>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</si>
  <si>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</si>
  <si>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</si>
  <si>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</si>
  <si>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</si>
  <si>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</si>
  <si>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</si>
  <si>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</si>
  <si>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</si>
  <si>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</si>
  <si>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</si>
  <si>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</si>
  <si>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</si>
  <si>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</si>
  <si>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</si>
  <si>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</si>
  <si>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</si>
  <si>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</si>
  <si>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</si>
  <si>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</si>
  <si>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</si>
  <si>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</si>
  <si>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</si>
  <si>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</si>
  <si>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</si>
  <si>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</si>
  <si>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</si>
  <si>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</si>
  <si>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</si>
  <si>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</si>
  <si>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</si>
  <si>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</si>
  <si>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</si>
  <si>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</si>
  <si>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</si>
  <si>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</si>
  <si>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</si>
  <si>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</si>
  <si>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</si>
  <si>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</si>
  <si>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</si>
  <si>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</si>
  <si>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</si>
  <si>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</si>
  <si>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</si>
  <si>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</si>
  <si>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</si>
  <si>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</si>
  <si>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</si>
  <si>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</si>
  <si>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</si>
  <si>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</si>
  <si>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</si>
  <si>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</si>
  <si>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</si>
  <si>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</si>
  <si>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</si>
  <si>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</si>
  <si>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</si>
  <si>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</si>
  <si>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</si>
  <si>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</si>
  <si>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</si>
  <si>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</si>
  <si>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</si>
  <si>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</si>
  <si>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</si>
  <si>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</si>
  <si>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</si>
  <si>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</si>
  <si>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</si>
  <si>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</si>
  <si>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</si>
  <si>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</si>
  <si>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</si>
  <si>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</si>
  <si>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</si>
  <si>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</si>
  <si>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</si>
  <si>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</si>
  <si>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</si>
  <si>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</si>
  <si>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</si>
  <si>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</si>
  <si>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</si>
  <si>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</si>
  <si>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</si>
  <si>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</si>
  <si>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</si>
  <si>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</si>
  <si>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</si>
  <si>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</si>
  <si>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</si>
  <si>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</si>
  <si>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</si>
  <si>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</si>
  <si>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</si>
  <si>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</si>
  <si>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</si>
  <si>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</si>
  <si>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</si>
  <si>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</si>
  <si>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</si>
  <si>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</si>
  <si>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</si>
  <si>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</si>
  <si>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</si>
  <si>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</si>
  <si>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</si>
  <si>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</si>
  <si>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</si>
  <si>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</si>
  <si>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</si>
  <si>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</si>
  <si>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</si>
  <si>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</si>
  <si>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</si>
  <si>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</si>
  <si>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</si>
  <si>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</si>
  <si>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</si>
  <si>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</si>
  <si>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</si>
  <si>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</si>
  <si>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</si>
  <si>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</si>
  <si>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</si>
  <si>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</si>
  <si>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</si>
  <si>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</si>
  <si>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</si>
  <si>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</si>
  <si>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</si>
  <si>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</si>
  <si>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</si>
  <si>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</si>
  <si>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</si>
  <si>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</si>
  <si>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</si>
  <si>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</si>
  <si>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</si>
  <si>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</si>
  <si>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</si>
  <si>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</si>
  <si>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</si>
  <si>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</si>
  <si>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</si>
  <si>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</si>
  <si>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</si>
  <si>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</si>
  <si>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</si>
  <si>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</si>
  <si>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</si>
  <si>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</si>
  <si>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</si>
  <si>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</si>
  <si>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</si>
  <si>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</si>
  <si>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</si>
  <si>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</si>
  <si>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</si>
  <si>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</si>
  <si>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</si>
  <si>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</si>
  <si>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</si>
  <si>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</si>
  <si>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</si>
  <si>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</si>
  <si>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</si>
  <si>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</si>
  <si>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</si>
  <si>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</si>
  <si>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</si>
  <si>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</si>
  <si>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</si>
  <si>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</si>
  <si>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</si>
  <si>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</si>
  <si>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</si>
  <si>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</si>
  <si>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</si>
  <si>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</si>
  <si>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</si>
  <si>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</si>
  <si>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</si>
  <si>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</si>
  <si>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</si>
  <si>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</si>
  <si>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</si>
  <si>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</si>
  <si>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</si>
  <si>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</si>
  <si>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</si>
  <si>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</si>
  <si>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</si>
  <si>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</si>
  <si>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</si>
  <si>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</si>
  <si>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</si>
  <si>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</si>
  <si>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</si>
  <si>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</si>
  <si>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</si>
  <si>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</si>
  <si>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</si>
  <si>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</si>
  <si>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</si>
  <si>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</si>
  <si>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</si>
  <si>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</si>
  <si>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</si>
  <si>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</si>
  <si>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</si>
  <si>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</si>
  <si>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</si>
  <si>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</si>
  <si>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</si>
  <si>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</si>
  <si>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</si>
  <si>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</si>
  <si>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</si>
  <si>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</si>
  <si>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</si>
  <si>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</si>
  <si>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</si>
  <si>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</si>
  <si>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</si>
  <si>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</si>
  <si>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</si>
  <si>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</si>
  <si>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</si>
  <si>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</si>
  <si>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</si>
  <si>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</si>
  <si>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</si>
  <si>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</si>
  <si>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</si>
  <si>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</si>
  <si>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</si>
  <si>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</si>
  <si>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</si>
  <si>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</si>
  <si>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</si>
  <si>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</si>
  <si>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</si>
  <si>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</si>
  <si>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</si>
  <si>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</si>
  <si>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</si>
  <si>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</si>
  <si>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</si>
  <si>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</si>
  <si>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</si>
  <si>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</si>
  <si>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</si>
  <si>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</si>
  <si>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</si>
  <si>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</si>
  <si>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</si>
  <si>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</si>
  <si>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</si>
  <si>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</si>
  <si>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</si>
  <si>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</si>
  <si>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</si>
  <si>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</si>
  <si>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</si>
  <si>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</si>
  <si>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</si>
  <si>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</si>
  <si>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</si>
  <si>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</si>
  <si>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</si>
  <si>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</si>
  <si>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</si>
  <si>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</si>
  <si>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</si>
  <si>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</si>
  <si>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</si>
  <si>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</si>
  <si>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</si>
  <si>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</si>
  <si>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</si>
  <si>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</si>
  <si>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</si>
  <si>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</si>
  <si>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</si>
  <si>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</si>
  <si>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</si>
  <si>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</si>
  <si>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</si>
  <si>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</si>
  <si>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</si>
  <si>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</si>
  <si>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</si>
  <si>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</si>
  <si>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</si>
  <si>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</si>
  <si>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</si>
  <si>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</si>
  <si>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</si>
  <si>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</si>
  <si>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</si>
  <si>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</si>
  <si>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</si>
  <si>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</si>
  <si>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</si>
  <si>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</si>
  <si>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</si>
  <si>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</si>
  <si>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</si>
  <si>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</si>
  <si>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</si>
  <si>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</si>
  <si>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</si>
  <si>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</si>
  <si>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</si>
  <si>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</si>
  <si>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</si>
  <si>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</si>
  <si>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</si>
  <si>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</si>
  <si>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</si>
  <si>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</si>
  <si>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</si>
  <si>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</si>
  <si>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</si>
  <si>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</si>
  <si>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</si>
  <si>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</si>
  <si>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</si>
  <si>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</si>
  <si>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</si>
  <si>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</si>
  <si>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</si>
  <si>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</si>
  <si>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</si>
  <si>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</si>
  <si>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</si>
  <si>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</si>
  <si>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</si>
  <si>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</si>
  <si>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</si>
  <si>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</si>
  <si>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</si>
  <si>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</si>
  <si>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</si>
  <si>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</si>
  <si>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</si>
  <si>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</si>
  <si>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</si>
  <si>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</si>
  <si>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</si>
  <si>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</si>
  <si>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</si>
  <si>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</si>
  <si>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</si>
  <si>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</si>
  <si>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</si>
  <si>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</si>
  <si>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</si>
  <si>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</si>
  <si>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</si>
  <si>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</si>
  <si>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</si>
  <si>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</si>
  <si>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</si>
  <si>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</si>
  <si>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</si>
  <si>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</si>
  <si>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</si>
  <si>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</si>
  <si>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</si>
  <si>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</si>
  <si>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</si>
  <si>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</si>
  <si>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</si>
  <si>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</si>
  <si>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</si>
  <si>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</si>
  <si>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</si>
  <si>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</si>
  <si>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</si>
  <si>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</si>
  <si>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</si>
  <si>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</si>
  <si>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</si>
  <si>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</si>
  <si>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</si>
  <si>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</si>
  <si>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</si>
  <si>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</si>
  <si>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</si>
  <si>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</si>
  <si>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</si>
  <si>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</si>
  <si>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</si>
  <si>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</si>
  <si>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</si>
  <si>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</si>
  <si>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</si>
  <si>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</si>
  <si>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</si>
  <si>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</si>
  <si>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</si>
  <si>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</si>
  <si>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</si>
  <si>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</si>
  <si>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</si>
  <si>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</si>
  <si>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</si>
  <si>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</si>
  <si>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</si>
  <si>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</si>
  <si>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</si>
  <si>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</si>
  <si>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</si>
  <si>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</si>
  <si>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</si>
  <si>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</si>
  <si>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</si>
  <si>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</si>
  <si>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</si>
  <si>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</si>
  <si>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</si>
  <si>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</si>
  <si>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</si>
  <si>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</si>
  <si>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</si>
  <si>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</si>
  <si>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</si>
  <si>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</si>
  <si>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</si>
  <si>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</si>
  <si>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</si>
  <si>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</si>
  <si>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</si>
  <si>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</si>
  <si>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</si>
  <si>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</si>
  <si>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</si>
  <si>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</si>
  <si>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</si>
  <si>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</si>
  <si>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</si>
  <si>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</si>
  <si>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</si>
  <si>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</si>
  <si>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</si>
  <si>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</si>
  <si>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</si>
  <si>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</si>
  <si>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</si>
  <si>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</si>
  <si>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</si>
  <si>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</si>
  <si>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</si>
  <si>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</si>
  <si>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</si>
  <si>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</si>
  <si>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</si>
  <si>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</si>
  <si>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</si>
  <si>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</si>
  <si>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</si>
  <si>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</si>
  <si>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</si>
  <si>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</si>
  <si>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</si>
  <si>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</si>
  <si>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</si>
  <si>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</si>
  <si>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</si>
  <si>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</si>
  <si>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</si>
  <si>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</si>
  <si>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</si>
  <si>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</si>
  <si>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</si>
  <si>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</si>
  <si>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</si>
  <si>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</si>
  <si>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</si>
  <si>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</si>
  <si>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</si>
  <si>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</si>
  <si>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</si>
  <si>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</si>
  <si>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</si>
  <si>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</si>
  <si>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</si>
  <si>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</si>
  <si>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</si>
  <si>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</si>
  <si>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</si>
  <si>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</si>
  <si>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</si>
  <si>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</si>
  <si>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</si>
  <si>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</si>
  <si>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</si>
  <si>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</si>
  <si>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</si>
  <si>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</si>
  <si>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</si>
  <si>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</si>
  <si>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</si>
  <si>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</si>
  <si>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</si>
  <si>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</si>
  <si>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</si>
  <si>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</si>
  <si>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</si>
  <si>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</si>
  <si>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</si>
  <si>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</si>
  <si>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</si>
  <si>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</si>
  <si>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</si>
  <si>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</si>
  <si>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</si>
  <si>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</si>
  <si>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</si>
  <si>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</si>
  <si>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</si>
  <si>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</si>
  <si>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</si>
  <si>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</si>
  <si>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</si>
  <si>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</si>
  <si>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</si>
  <si>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</si>
  <si>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</si>
  <si>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</si>
  <si>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</si>
  <si>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</si>
  <si>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</si>
  <si>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</si>
  <si>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</si>
  <si>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</si>
  <si>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</si>
  <si>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</si>
  <si>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</si>
  <si>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</si>
  <si>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</si>
  <si>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</si>
  <si>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</si>
  <si>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</si>
  <si>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</si>
  <si>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</si>
  <si>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</si>
  <si>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</si>
  <si>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</si>
  <si>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</si>
  <si>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</si>
  <si>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</si>
  <si>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</si>
  <si>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</si>
  <si>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</si>
  <si>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</si>
  <si>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</si>
  <si>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</si>
  <si>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</si>
  <si>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</si>
  <si>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</si>
  <si>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</si>
  <si>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</si>
  <si>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</si>
  <si>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</si>
  <si>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</si>
  <si>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</si>
  <si>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</si>
  <si>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</si>
  <si>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</si>
  <si>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</si>
  <si>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</si>
  <si>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</si>
  <si>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</si>
  <si>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</si>
  <si>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</si>
  <si>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</si>
  <si>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</si>
  <si>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</si>
  <si>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</si>
  <si>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</si>
  <si>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</si>
  <si>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</si>
  <si>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</si>
  <si>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</si>
  <si>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</si>
  <si>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</si>
  <si>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</si>
  <si>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</si>
  <si>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</si>
  <si>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</si>
  <si>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</si>
  <si>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</si>
  <si>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</si>
  <si>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</si>
  <si>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</si>
  <si>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</si>
  <si>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</si>
  <si>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</si>
  <si>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</si>
  <si>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</si>
  <si>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</si>
  <si>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</si>
  <si>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</si>
  <si>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</si>
  <si>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</si>
  <si>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</si>
  <si>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</si>
  <si>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</si>
  <si>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</si>
  <si>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</si>
  <si>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</si>
  <si>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</si>
  <si>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</si>
  <si>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</si>
  <si>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</si>
  <si>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</si>
  <si>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</si>
  <si>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</si>
  <si>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</si>
  <si>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</si>
  <si>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</si>
  <si>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</si>
  <si>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</si>
  <si>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</si>
  <si>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</si>
  <si>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</si>
  <si>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</si>
  <si>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</si>
  <si>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</si>
  <si>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</si>
  <si>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</si>
  <si>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</si>
  <si>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</si>
  <si>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</si>
  <si>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</si>
  <si>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</si>
  <si>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</si>
  <si>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</si>
  <si>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</si>
  <si>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</si>
  <si>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</si>
  <si>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</si>
  <si>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</si>
  <si>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</si>
  <si>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</si>
  <si>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</si>
  <si>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</si>
  <si>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</si>
  <si>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</si>
  <si>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</si>
  <si>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</si>
  <si>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</si>
  <si>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</si>
  <si>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</si>
  <si>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</si>
  <si>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</si>
  <si>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</si>
  <si>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</si>
  <si>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</si>
  <si>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</si>
  <si>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</si>
  <si>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</si>
  <si>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</si>
  <si>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</si>
  <si>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</si>
  <si>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</si>
  <si>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</si>
  <si>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</si>
  <si>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</si>
  <si>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</si>
  <si>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</si>
  <si>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</si>
  <si>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</si>
  <si>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</si>
  <si>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</si>
  <si>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</si>
  <si>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</si>
  <si>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</si>
  <si>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</si>
  <si>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</si>
  <si>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</si>
  <si>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</si>
  <si>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</si>
  <si>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</si>
  <si>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</si>
  <si>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</si>
  <si>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</si>
  <si>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</si>
  <si>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</si>
  <si>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</si>
  <si>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</si>
  <si>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</si>
  <si>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</si>
  <si>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</si>
  <si>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</si>
  <si>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</si>
  <si>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</si>
  <si>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</si>
  <si>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</si>
  <si>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</si>
  <si>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</si>
  <si>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</si>
  <si>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</si>
  <si>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</si>
  <si>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</si>
  <si>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</si>
  <si>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</si>
  <si>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</si>
  <si>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</si>
  <si>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</si>
  <si>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</si>
  <si>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</si>
  <si>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</si>
  <si>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</si>
  <si>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</si>
  <si>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</si>
  <si>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</si>
  <si>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</si>
  <si>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</si>
  <si>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</si>
  <si>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</si>
  <si>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</si>
  <si>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</si>
  <si>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</si>
  <si>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</si>
  <si>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</si>
  <si>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</si>
  <si>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</si>
  <si>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</si>
  <si>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</si>
  <si>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</si>
  <si>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</si>
  <si>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</si>
  <si>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</si>
  <si>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</si>
  <si>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</si>
  <si>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</si>
  <si>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</si>
  <si>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</si>
  <si>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</si>
  <si>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</si>
  <si>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</si>
  <si>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</si>
  <si>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</si>
  <si>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</si>
  <si>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</si>
  <si>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</si>
  <si>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</si>
  <si>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</si>
  <si>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</si>
  <si>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</si>
  <si>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</si>
  <si>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</si>
  <si>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</si>
  <si>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</si>
  <si>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</si>
  <si>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</si>
  <si>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</si>
  <si>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</si>
  <si>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</si>
  <si>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</si>
  <si>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</si>
  <si>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</si>
  <si>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</si>
  <si>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</si>
  <si>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</si>
  <si>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</si>
  <si>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</si>
  <si>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</si>
  <si>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</si>
  <si>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</si>
  <si>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</si>
  <si>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</si>
  <si>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</si>
  <si>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</si>
  <si>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</si>
  <si>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</si>
  <si>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</si>
  <si>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</si>
  <si>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</si>
  <si>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</si>
  <si>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</si>
  <si>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</si>
  <si>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</si>
  <si>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</si>
  <si>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</si>
  <si>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</si>
  <si>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</si>
  <si>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</si>
  <si>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</si>
  <si>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</si>
  <si>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</si>
  <si>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</si>
  <si>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</si>
  <si>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</si>
  <si>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</si>
  <si>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</si>
  <si>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</si>
  <si>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</si>
  <si>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</si>
  <si>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</si>
  <si>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</si>
  <si>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</si>
  <si>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</si>
  <si>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</si>
  <si>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</si>
  <si>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</si>
  <si>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</si>
  <si>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</si>
  <si>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</si>
  <si>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</si>
  <si>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</si>
  <si>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</si>
  <si>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</si>
  <si>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</si>
  <si>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</si>
  <si>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</si>
  <si>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</si>
  <si>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</si>
  <si>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</si>
  <si>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</si>
  <si>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</si>
  <si>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</si>
  <si>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</si>
  <si>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</si>
  <si>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</si>
  <si>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</si>
  <si>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</si>
  <si>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</si>
  <si>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</si>
  <si>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</si>
  <si>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</si>
  <si>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</si>
  <si>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</si>
  <si>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</si>
  <si>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</si>
  <si>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</si>
  <si>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</si>
  <si>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</si>
  <si>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</si>
  <si>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</si>
  <si>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</si>
  <si>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</si>
  <si>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</si>
  <si>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</si>
  <si>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</si>
  <si>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</si>
  <si>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</si>
  <si>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</si>
  <si>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</si>
  <si>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</si>
  <si>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</si>
  <si>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</si>
  <si>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</si>
  <si>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</si>
  <si>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</si>
  <si>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</si>
  <si>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</si>
  <si>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</si>
  <si>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</si>
  <si>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</si>
  <si>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</si>
  <si>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</si>
  <si>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</si>
  <si>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</si>
  <si>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</si>
  <si>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</si>
  <si>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</si>
  <si>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</si>
  <si>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</si>
  <si>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</si>
  <si>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</si>
  <si>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</si>
  <si>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</si>
  <si>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</si>
  <si>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</si>
  <si>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</si>
  <si>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</si>
  <si>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</si>
  <si>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</si>
  <si>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</si>
  <si>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</si>
  <si>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</si>
  <si>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</si>
  <si>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</si>
  <si>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</si>
  <si>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</si>
  <si>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</si>
  <si>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</si>
  <si>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</si>
  <si>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</si>
  <si>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</si>
  <si>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</si>
  <si>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</si>
  <si>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</si>
  <si>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</si>
  <si>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</si>
  <si>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</si>
  <si>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</si>
  <si>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</si>
  <si>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</si>
  <si>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</si>
  <si>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</si>
  <si>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</si>
  <si>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</si>
  <si>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</si>
  <si>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</si>
  <si>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</si>
  <si>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</si>
  <si>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</si>
  <si>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</si>
  <si>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</si>
  <si>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</si>
  <si>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</si>
  <si>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</si>
  <si>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</si>
  <si>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</si>
  <si>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</si>
  <si>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</si>
  <si>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</si>
  <si>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</si>
  <si>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</si>
  <si>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</si>
  <si>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</si>
  <si>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</si>
  <si>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</si>
  <si>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</si>
  <si>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</si>
  <si>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</si>
  <si>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</si>
  <si>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</si>
  <si>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</si>
  <si>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</si>
  <si>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</si>
  <si>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</si>
  <si>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</si>
  <si>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</si>
  <si>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</si>
  <si>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</si>
  <si>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</si>
  <si>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</si>
  <si>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</si>
  <si>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</si>
  <si>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</si>
  <si>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</si>
  <si>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</si>
  <si>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</si>
  <si>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</si>
  <si>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</si>
  <si>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</si>
  <si>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</si>
  <si>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</si>
  <si>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</si>
  <si>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</si>
  <si>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</si>
  <si>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</si>
  <si>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</si>
  <si>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</si>
  <si>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</si>
  <si>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</si>
  <si>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</si>
  <si>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</si>
  <si>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</si>
  <si>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</si>
  <si>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</si>
  <si>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</si>
  <si>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</si>
  <si>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</si>
  <si>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</si>
  <si>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</si>
  <si>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</si>
  <si>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</si>
  <si>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</si>
  <si>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</si>
  <si>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</si>
  <si>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</si>
  <si>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</si>
  <si>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</si>
  <si>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</si>
  <si>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</si>
  <si>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</si>
  <si>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</si>
  <si>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</si>
  <si>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</si>
  <si>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</si>
  <si>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</si>
  <si>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</si>
  <si>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</si>
  <si>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</si>
  <si>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</si>
  <si>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</si>
  <si>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</si>
  <si>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</si>
  <si>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</si>
  <si>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</si>
  <si>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</si>
  <si>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</si>
  <si>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</si>
  <si>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</si>
  <si>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</si>
  <si>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</si>
  <si>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</si>
  <si>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</si>
  <si>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</si>
  <si>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</si>
  <si>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</si>
  <si>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</si>
  <si>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</si>
  <si>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</si>
  <si>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</si>
  <si>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</si>
  <si>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</si>
  <si>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</si>
  <si>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</si>
  <si>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</si>
  <si>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</si>
  <si>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</si>
  <si>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</si>
  <si>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</si>
  <si>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</si>
  <si>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</si>
  <si>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</si>
  <si>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</si>
  <si>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</si>
  <si>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</si>
  <si>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</si>
  <si>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</si>
  <si>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</si>
  <si>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</si>
  <si>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</si>
  <si>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</si>
  <si>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</si>
  <si>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</si>
  <si>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</si>
  <si>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</si>
  <si>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</si>
  <si>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</si>
  <si>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</si>
  <si>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</si>
  <si>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</si>
  <si>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</si>
  <si>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</si>
  <si>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</si>
  <si>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</si>
  <si>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</si>
  <si>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</si>
  <si>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</si>
  <si>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</si>
  <si>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</si>
  <si>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</si>
  <si>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</si>
  <si>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</si>
  <si>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</si>
  <si>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</si>
  <si>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</si>
  <si>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</si>
  <si>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</si>
  <si>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</si>
  <si>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</si>
  <si>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</si>
  <si>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</si>
  <si>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</si>
  <si>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</si>
  <si>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</si>
  <si>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</si>
  <si>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</si>
  <si>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</si>
  <si>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</si>
  <si>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</si>
  <si>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</si>
  <si>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</si>
  <si>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</si>
  <si>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</si>
  <si>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</si>
  <si>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</si>
  <si>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</si>
  <si>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</si>
  <si>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</si>
  <si>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</si>
  <si>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</si>
  <si>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</si>
  <si>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</si>
  <si>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</si>
  <si>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</si>
  <si>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</si>
  <si>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</si>
  <si>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</si>
  <si>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</si>
  <si>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</si>
  <si>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</si>
  <si>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</si>
  <si>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</si>
  <si>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</si>
  <si>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</si>
  <si>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</si>
  <si>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</si>
  <si>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</si>
  <si>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</si>
  <si>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</si>
  <si>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</si>
  <si>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</si>
  <si>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</si>
  <si>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</si>
  <si>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</si>
  <si>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</si>
  <si>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</si>
  <si>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</si>
  <si>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</si>
  <si>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</si>
  <si>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</si>
  <si>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</si>
  <si>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</si>
  <si>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</si>
  <si>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</si>
  <si>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</si>
  <si>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</si>
  <si>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</si>
  <si>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</si>
  <si>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</si>
  <si>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</si>
  <si>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</si>
  <si>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</si>
  <si>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</si>
  <si>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</si>
  <si>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</si>
  <si>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</si>
  <si>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</si>
  <si>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</si>
  <si>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</si>
  <si>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</si>
  <si>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</si>
  <si>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</si>
  <si>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</si>
  <si>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</si>
  <si>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</si>
  <si>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</si>
  <si>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</si>
  <si>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</si>
  <si>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</si>
  <si>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</si>
  <si>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</si>
  <si>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</si>
  <si>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</si>
  <si>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</si>
  <si>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</si>
  <si>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</si>
  <si>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</si>
  <si>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</si>
  <si>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</si>
  <si>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</si>
  <si>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</si>
  <si>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</si>
  <si>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</si>
  <si>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</si>
  <si>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</si>
  <si>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</si>
  <si>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</si>
  <si>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</si>
  <si>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</si>
  <si>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</si>
  <si>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</si>
  <si>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</si>
  <si>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</si>
  <si>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</si>
  <si>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</si>
  <si>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</si>
  <si>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</si>
  <si>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</si>
  <si>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</si>
  <si>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</si>
  <si>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</si>
  <si>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</si>
  <si>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</si>
  <si>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</si>
  <si>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</si>
  <si>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</si>
  <si>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</si>
  <si>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</si>
  <si>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</si>
  <si>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</si>
  <si>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</si>
  <si>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</si>
  <si>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</si>
  <si>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</si>
  <si>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</si>
  <si>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</si>
  <si>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</si>
  <si>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</si>
  <si>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</si>
  <si>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</si>
  <si>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</si>
  <si>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</si>
  <si>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</si>
  <si>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</si>
  <si>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</si>
  <si>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</si>
  <si>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</si>
  <si>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</si>
  <si>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</si>
  <si>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</si>
  <si>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</si>
  <si>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</si>
  <si>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</si>
  <si>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</si>
  <si>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</si>
  <si>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</si>
  <si>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</si>
  <si>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</si>
  <si>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</si>
  <si>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</si>
  <si>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</si>
  <si>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</si>
  <si>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</si>
  <si>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</si>
  <si>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</si>
  <si>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</si>
  <si>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</si>
  <si>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</si>
  <si>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</si>
  <si>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</si>
  <si>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</si>
  <si>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</si>
  <si>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</si>
  <si>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</si>
  <si>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</si>
  <si>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</si>
  <si>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</si>
  <si>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</si>
  <si>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</si>
  <si>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</si>
  <si>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</si>
  <si>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</si>
  <si>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</si>
  <si>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</si>
  <si>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</si>
  <si>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</si>
  <si>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</si>
  <si>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</si>
  <si>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</si>
  <si>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</si>
  <si>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</si>
  <si>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</si>
  <si>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</si>
  <si>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</si>
  <si>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</si>
  <si>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</si>
  <si>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</si>
  <si>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</si>
  <si>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</si>
  <si>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</si>
  <si>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</si>
  <si>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</si>
  <si>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</si>
  <si>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</si>
  <si>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</si>
  <si>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</si>
  <si>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</si>
  <si>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</si>
  <si>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</si>
  <si>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</si>
  <si>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</si>
  <si>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</si>
  <si>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</si>
  <si>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</si>
  <si>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</si>
  <si>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</si>
  <si>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</si>
  <si>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</si>
  <si>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</si>
  <si>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</si>
  <si>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</si>
  <si>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</si>
  <si>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</si>
  <si>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</si>
  <si>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</si>
  <si>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</si>
  <si>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</si>
  <si>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</si>
  <si>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</si>
  <si>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</si>
  <si>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</si>
  <si>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</si>
  <si>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</si>
  <si>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</si>
  <si>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</si>
  <si>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</si>
  <si>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</si>
  <si>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</si>
  <si>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</si>
  <si>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</si>
  <si>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</si>
  <si>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</si>
  <si>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</si>
  <si>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</si>
  <si>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</si>
  <si>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</si>
  <si>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</si>
  <si>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</si>
  <si>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</si>
  <si>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</si>
  <si>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</si>
  <si>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</si>
  <si>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</si>
  <si>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</si>
  <si>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</si>
  <si>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</si>
  <si>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</si>
  <si>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</si>
  <si>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</si>
  <si>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</si>
  <si>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</si>
  <si>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</si>
  <si>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</si>
  <si>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</si>
  <si>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</si>
  <si>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</si>
  <si>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</si>
  <si>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</si>
  <si>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</si>
  <si>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</si>
  <si>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</si>
  <si>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</si>
  <si>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</si>
  <si>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</si>
  <si>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</si>
  <si>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</si>
  <si>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</si>
  <si>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</si>
  <si>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</si>
  <si>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</si>
  <si>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</si>
  <si>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</si>
  <si>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</si>
  <si>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</si>
  <si>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</si>
  <si>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</si>
  <si>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</si>
  <si>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</si>
  <si>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</si>
  <si>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</si>
  <si>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</si>
  <si>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</si>
  <si>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</si>
  <si>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</si>
  <si>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</si>
  <si>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</si>
  <si>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</si>
  <si>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</si>
  <si>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</si>
  <si>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</si>
  <si>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</si>
  <si>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</si>
  <si>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</si>
  <si>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</si>
  <si>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</si>
  <si>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</si>
  <si>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</si>
  <si>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</si>
  <si>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</si>
  <si>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</si>
  <si>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</si>
  <si>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</si>
  <si>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</si>
  <si>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</si>
  <si>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</si>
  <si>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</si>
  <si>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</si>
  <si>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</si>
  <si>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</si>
  <si>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</si>
  <si>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</si>
  <si>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</si>
  <si>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</si>
  <si>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</si>
  <si>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</si>
  <si>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</si>
  <si>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</si>
  <si>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</si>
  <si>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</si>
  <si>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</si>
  <si>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</si>
  <si>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</si>
  <si>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</si>
  <si>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</si>
  <si>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</si>
  <si>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</si>
  <si>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</si>
  <si>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</si>
  <si>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</si>
  <si>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</si>
  <si>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</si>
  <si>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</si>
  <si>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</si>
  <si>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</si>
  <si>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</si>
  <si>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</si>
  <si>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</si>
  <si>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</si>
  <si>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</si>
  <si>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</si>
  <si>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</si>
  <si>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</si>
  <si>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</si>
  <si>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</si>
  <si>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</si>
  <si>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</si>
  <si>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</si>
  <si>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</si>
  <si>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</si>
  <si>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</si>
  <si>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</si>
  <si>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</si>
  <si>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</si>
  <si>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</si>
  <si>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</si>
  <si>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</si>
  <si>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</si>
  <si>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</si>
  <si>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</si>
  <si>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</si>
  <si>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</si>
  <si>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</si>
  <si>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</si>
  <si>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</si>
  <si>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</si>
  <si>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</si>
  <si>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</si>
  <si>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</si>
  <si>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</si>
  <si>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</si>
  <si>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</si>
  <si>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</si>
  <si>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</si>
  <si>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</si>
  <si>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</si>
  <si>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</si>
  <si>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</si>
  <si>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</si>
  <si>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</si>
  <si>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</si>
  <si>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</si>
  <si>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</si>
  <si>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</si>
  <si>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</si>
  <si>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</si>
  <si>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</si>
  <si>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</si>
  <si>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</si>
  <si>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</si>
  <si>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</si>
  <si>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</si>
  <si>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</si>
  <si>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</si>
  <si>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</si>
  <si>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</si>
  <si>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</si>
  <si>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</si>
  <si>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</si>
  <si>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</si>
  <si>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</si>
  <si>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</si>
  <si>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</si>
  <si>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</si>
  <si>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</si>
  <si>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</si>
  <si>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</si>
  <si>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</si>
  <si>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</si>
  <si>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</si>
  <si>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</si>
  <si>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</si>
  <si>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</si>
  <si>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</si>
  <si>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</si>
  <si>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</si>
  <si>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</si>
  <si>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</si>
  <si>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</si>
  <si>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</si>
  <si>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</si>
  <si>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</si>
  <si>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</si>
  <si>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</si>
  <si>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</si>
  <si>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</si>
  <si>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</si>
  <si>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</si>
  <si>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</si>
  <si>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</si>
  <si>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</si>
  <si>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</si>
  <si>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</si>
  <si>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</si>
  <si>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</si>
  <si>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</si>
  <si>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</si>
  <si>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</si>
  <si>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</si>
  <si>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</si>
  <si>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</si>
  <si>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</si>
  <si>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</si>
  <si>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</si>
  <si>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</si>
  <si>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</si>
  <si>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</si>
  <si>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</si>
  <si>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</si>
  <si>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</si>
  <si>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</si>
  <si>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</si>
  <si>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</si>
  <si>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</si>
  <si>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</si>
  <si>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</si>
  <si>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</si>
  <si>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</si>
  <si>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</si>
  <si>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</si>
  <si>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</si>
  <si>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</si>
  <si>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</si>
  <si>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</si>
  <si>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</si>
  <si>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</si>
  <si>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</si>
  <si>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</si>
  <si>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</si>
  <si>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</si>
  <si>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</si>
  <si>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</si>
  <si>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</si>
  <si>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</si>
  <si>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</si>
  <si>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</si>
  <si>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</si>
  <si>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</si>
  <si>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</si>
  <si>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</si>
  <si>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</si>
  <si>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</si>
  <si>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</si>
  <si>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</si>
  <si>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</si>
  <si>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</si>
  <si>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</si>
  <si>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</si>
  <si>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</si>
  <si>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</si>
  <si>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</si>
  <si>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</si>
  <si>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</si>
  <si>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</si>
  <si>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</si>
  <si>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</si>
  <si>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</si>
  <si>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</si>
  <si>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</si>
  <si>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</si>
  <si>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</si>
  <si>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</si>
  <si>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</si>
  <si>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</si>
  <si>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</si>
  <si>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</si>
  <si>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</si>
  <si>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</si>
  <si>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</si>
  <si>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</si>
  <si>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</si>
  <si>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</si>
  <si>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</si>
  <si>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</si>
  <si>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</si>
  <si>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</si>
  <si>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</si>
  <si>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</si>
  <si>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</si>
  <si>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</si>
  <si>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</si>
  <si>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</si>
  <si>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</si>
  <si>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</si>
  <si>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</si>
  <si>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</si>
  <si>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</si>
  <si>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</si>
  <si>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</si>
  <si>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</si>
  <si>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</si>
  <si>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</si>
  <si>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</si>
  <si>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</si>
  <si>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</si>
  <si>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</si>
  <si>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</si>
  <si>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</si>
  <si>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</si>
  <si>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</si>
  <si>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</si>
  <si>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</si>
  <si>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</si>
  <si>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</si>
  <si>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</si>
  <si>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</si>
  <si>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</si>
  <si>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</si>
  <si>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</si>
  <si>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</si>
  <si>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</si>
  <si>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</si>
  <si>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</si>
  <si>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</si>
  <si>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</si>
  <si>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</si>
  <si>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</si>
  <si>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</si>
  <si>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</si>
  <si>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</si>
  <si>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</si>
  <si>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</si>
  <si>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</si>
  <si>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</si>
  <si>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</si>
  <si>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</si>
  <si>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</si>
  <si>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</si>
  <si>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</si>
  <si>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</si>
  <si>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</si>
  <si>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</si>
  <si>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</si>
  <si>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</si>
  <si>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</si>
  <si>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</si>
  <si>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</si>
  <si>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</si>
  <si>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</si>
  <si>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</si>
  <si>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</si>
  <si>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</si>
  <si>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</si>
  <si>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</si>
  <si>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</si>
  <si>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</si>
  <si>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</si>
  <si>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</si>
  <si>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</si>
  <si>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</si>
  <si>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</si>
  <si>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</si>
  <si>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</si>
  <si>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</si>
  <si>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</si>
  <si>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</si>
  <si>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</si>
  <si>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</si>
  <si>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</si>
  <si>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</si>
  <si>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</si>
  <si>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</si>
  <si>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</si>
  <si>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</si>
  <si>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</si>
  <si>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</si>
  <si>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</si>
  <si>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</si>
  <si>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</si>
  <si>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</si>
  <si>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</si>
  <si>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</si>
  <si>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</si>
  <si>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</si>
  <si>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</si>
  <si>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</si>
  <si>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</si>
  <si>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</si>
  <si>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</si>
  <si>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</si>
  <si>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</si>
  <si>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</si>
  <si>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</si>
  <si>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</si>
  <si>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</si>
  <si>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</si>
  <si>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</si>
  <si>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</si>
  <si>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</si>
  <si>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</si>
  <si>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</si>
  <si>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</si>
  <si>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</si>
  <si>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</si>
  <si>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</si>
  <si>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</si>
  <si>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</si>
  <si>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</si>
  <si>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</si>
  <si>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</si>
  <si>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</si>
  <si>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</si>
  <si>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</si>
  <si>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</si>
  <si>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</si>
  <si>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</si>
  <si>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</si>
  <si>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</si>
  <si>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</si>
  <si>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</si>
  <si>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</si>
  <si>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</si>
  <si>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</si>
  <si>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</si>
  <si>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</si>
  <si>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</si>
  <si>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</si>
  <si>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</si>
  <si>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</si>
  <si>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</si>
  <si>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</si>
  <si>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</si>
  <si>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</si>
  <si>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</si>
  <si>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</si>
  <si>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</si>
  <si>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</si>
  <si>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</si>
  <si>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</si>
  <si>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</si>
  <si>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</si>
  <si>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</si>
  <si>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</si>
  <si>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</si>
  <si>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</si>
  <si>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</si>
  <si>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</si>
  <si>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</si>
  <si>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</si>
  <si>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</si>
  <si>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</si>
  <si>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</si>
  <si>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</si>
  <si>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</si>
  <si>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</si>
  <si>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</si>
  <si>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</si>
  <si>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</si>
  <si>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</si>
  <si>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</si>
  <si>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</si>
  <si>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</si>
  <si>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</si>
  <si>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</si>
  <si>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</si>
  <si>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</si>
  <si>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</si>
  <si>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</si>
  <si>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</si>
  <si>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</si>
  <si>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</si>
  <si>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</si>
  <si>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</si>
  <si>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</si>
  <si>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</si>
  <si>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</si>
  <si>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</si>
  <si>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</si>
  <si>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</si>
  <si>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</si>
  <si>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</si>
  <si>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</si>
  <si>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</si>
  <si>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</si>
  <si>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</si>
  <si>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</si>
  <si>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</si>
  <si>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</si>
  <si>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</si>
  <si>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</si>
  <si>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</si>
  <si>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</si>
  <si>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</si>
  <si>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</si>
  <si>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</si>
  <si>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</si>
  <si>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</si>
  <si>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</si>
  <si>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</si>
  <si>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</si>
  <si>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</si>
  <si>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</si>
  <si>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</si>
  <si>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</si>
  <si>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</si>
  <si>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</si>
  <si>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</si>
  <si>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</si>
  <si>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</si>
  <si>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</si>
  <si>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</si>
  <si>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</si>
  <si>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</si>
  <si>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</si>
  <si>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</si>
  <si>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</si>
  <si>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</si>
  <si>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</si>
  <si>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</si>
  <si>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</si>
  <si>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</si>
  <si>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</si>
  <si>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</si>
  <si>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</si>
  <si>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</si>
  <si>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</si>
  <si>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</si>
  <si>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</si>
  <si>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</si>
  <si>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</si>
  <si>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</si>
  <si>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</si>
  <si>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</si>
  <si>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</si>
  <si>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</si>
  <si>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</si>
  <si>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</si>
  <si>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</si>
  <si>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</si>
  <si>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</si>
  <si>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</si>
  <si>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</si>
  <si>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</si>
  <si>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</si>
  <si>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</si>
  <si>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</si>
  <si>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</si>
  <si>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</si>
  <si>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</si>
  <si>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</si>
  <si>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</si>
  <si>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</si>
  <si>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</si>
  <si>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</si>
  <si>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</si>
  <si>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</si>
  <si>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</si>
  <si>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</si>
  <si>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</si>
  <si>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</si>
  <si>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</si>
  <si>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</si>
  <si>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</si>
  <si>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</si>
  <si>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</si>
  <si>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</si>
  <si>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</si>
  <si>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</si>
  <si>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</si>
  <si>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</si>
  <si>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</si>
  <si>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</si>
  <si>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</si>
  <si>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</si>
  <si>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</si>
  <si>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</si>
  <si>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</si>
  <si>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</si>
  <si>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</si>
  <si>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</si>
  <si>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</si>
  <si>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</si>
  <si>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</si>
  <si>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</si>
  <si>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</si>
  <si>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</si>
  <si>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</si>
  <si>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</si>
  <si>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</si>
  <si>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</si>
  <si>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</si>
  <si>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</si>
  <si>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</si>
  <si>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</si>
  <si>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</si>
  <si>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</si>
  <si>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</si>
  <si>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</si>
  <si>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</si>
  <si>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</si>
  <si>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</si>
  <si>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</si>
  <si>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</si>
  <si>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</si>
  <si>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</si>
  <si>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</si>
  <si>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</si>
  <si>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</si>
  <si>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</si>
  <si>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</si>
  <si>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</si>
  <si>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</si>
  <si>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</si>
  <si>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</si>
  <si>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</si>
  <si>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</si>
  <si>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</si>
  <si>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</si>
  <si>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</si>
  <si>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</si>
  <si>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</si>
  <si>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</si>
  <si>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</si>
  <si>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</si>
  <si>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</si>
  <si>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</si>
  <si>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</si>
  <si>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</si>
  <si>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</si>
  <si>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</si>
  <si>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</si>
  <si>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</si>
  <si>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</si>
  <si>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</si>
  <si>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</si>
  <si>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</si>
  <si>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</si>
  <si>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</si>
  <si>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</si>
  <si>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</si>
  <si>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</si>
  <si>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</si>
  <si>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</si>
  <si>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</si>
  <si>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</si>
  <si>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</si>
  <si>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</si>
  <si>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</si>
  <si>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</si>
  <si>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</si>
  <si>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</si>
  <si>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</si>
  <si>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</si>
  <si>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</si>
  <si>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</si>
  <si>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</si>
  <si>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</si>
  <si>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</si>
  <si>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</si>
  <si>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</si>
  <si>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</si>
  <si>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</si>
  <si>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</si>
  <si>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</si>
  <si>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</si>
  <si>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</si>
  <si>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</si>
  <si>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</si>
  <si>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</si>
  <si>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</si>
  <si>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</si>
  <si>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</si>
  <si>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</si>
  <si>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</si>
  <si>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</si>
  <si>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</si>
  <si>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</si>
  <si>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</si>
  <si>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</si>
  <si>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</si>
  <si>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</si>
  <si>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</si>
  <si>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</si>
  <si>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</si>
  <si>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</si>
  <si>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</si>
  <si>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</si>
  <si>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</si>
  <si>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</si>
  <si>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</si>
  <si>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</si>
  <si>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</si>
  <si>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</si>
  <si>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</si>
  <si>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</si>
  <si>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</si>
  <si>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</si>
  <si>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</si>
  <si>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</si>
  <si>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</si>
  <si>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</si>
  <si>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</si>
  <si>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</si>
  <si>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</si>
  <si>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</si>
  <si>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</si>
  <si>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</si>
  <si>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</si>
  <si>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</si>
  <si>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</si>
  <si>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</si>
  <si>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</si>
  <si>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</si>
  <si>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</si>
  <si>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</si>
  <si>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</si>
  <si>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</si>
  <si>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</si>
  <si>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</si>
  <si>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</si>
  <si>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</si>
  <si>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</si>
  <si>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</si>
  <si>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</si>
  <si>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</si>
  <si>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</si>
  <si>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</si>
  <si>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</si>
  <si>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</si>
  <si>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</si>
  <si>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</si>
  <si>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</si>
  <si>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</si>
  <si>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</si>
  <si>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</si>
  <si>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</si>
  <si>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</si>
  <si>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</si>
  <si>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</si>
  <si>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</si>
  <si>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</si>
  <si>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</si>
  <si>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</si>
  <si>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</si>
  <si>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</si>
  <si>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</si>
  <si>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</si>
  <si>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</si>
  <si>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</si>
  <si>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</si>
  <si>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</si>
  <si>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</si>
  <si>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</si>
  <si>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</si>
  <si>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</si>
  <si>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</si>
  <si>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</si>
  <si>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</si>
  <si>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</si>
  <si>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</si>
  <si>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</si>
  <si>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</si>
  <si>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</si>
  <si>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</si>
  <si>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</si>
  <si>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</si>
  <si>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</si>
  <si>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</si>
  <si>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</si>
  <si>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</si>
  <si>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</si>
  <si>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</si>
  <si>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</si>
  <si>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</si>
  <si>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</si>
  <si>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</si>
  <si>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</si>
  <si>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</si>
  <si>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</si>
  <si>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</si>
  <si>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</si>
  <si>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</si>
  <si>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</si>
  <si>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</si>
  <si>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</si>
  <si>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</si>
  <si>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</si>
  <si>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</si>
  <si>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</si>
  <si>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</si>
  <si>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</si>
  <si>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</si>
  <si>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</si>
  <si>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</si>
  <si>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</si>
  <si>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</si>
  <si>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</si>
  <si>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</si>
  <si>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</si>
  <si>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</si>
  <si>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</si>
  <si>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</si>
  <si>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</si>
  <si>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</si>
  <si>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</si>
  <si>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</si>
  <si>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</si>
  <si>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</si>
  <si>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</si>
  <si>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</si>
  <si>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</si>
  <si>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</si>
  <si>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</si>
  <si>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</si>
  <si>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</si>
  <si>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</si>
  <si>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</si>
  <si>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</si>
  <si>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</si>
  <si>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</si>
  <si>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</si>
  <si>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</si>
  <si>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</si>
  <si>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</si>
  <si>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</si>
  <si>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</si>
  <si>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</si>
  <si>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</si>
  <si>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</si>
  <si>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</si>
  <si>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</si>
  <si>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</si>
  <si>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</si>
  <si>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</si>
  <si>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</si>
  <si>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</si>
  <si>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</si>
  <si>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</si>
  <si>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</si>
  <si>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</si>
  <si>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</si>
  <si>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</si>
  <si>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</si>
  <si>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</si>
  <si>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</si>
  <si>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</si>
  <si>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</si>
  <si>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</si>
  <si>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</si>
  <si>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</si>
  <si>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</si>
  <si>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</si>
  <si>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</si>
  <si>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</si>
  <si>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</si>
  <si>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</si>
  <si>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</si>
  <si>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</si>
  <si>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</si>
  <si>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</si>
  <si>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</si>
  <si>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</si>
  <si>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</si>
  <si>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</si>
  <si>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</si>
  <si>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</si>
  <si>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</si>
  <si>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</si>
  <si>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</si>
  <si>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</si>
  <si>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</si>
  <si>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</si>
  <si>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</si>
  <si>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</si>
  <si>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</si>
  <si>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</si>
  <si>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</si>
  <si>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</si>
  <si>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</si>
  <si>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</si>
  <si>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</si>
  <si>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</si>
  <si>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</si>
  <si>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</si>
  <si>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</si>
  <si>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</si>
  <si>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</si>
  <si>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</si>
  <si>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</si>
  <si>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</si>
  <si>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</si>
  <si>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</si>
  <si>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</si>
  <si>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</si>
  <si>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</si>
  <si>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</si>
  <si>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</si>
  <si>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</si>
  <si>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</si>
  <si>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</si>
  <si>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</si>
  <si>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</si>
  <si>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</si>
  <si>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</si>
  <si>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</si>
  <si>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</si>
  <si>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</si>
  <si>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</si>
  <si>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</si>
  <si>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</si>
  <si>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</si>
  <si>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</si>
  <si>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</si>
  <si>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</si>
  <si>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</si>
  <si>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</si>
  <si>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</si>
  <si>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</si>
  <si>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</si>
  <si>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</si>
  <si>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</si>
  <si>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</si>
  <si>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</si>
  <si>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</si>
  <si>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</si>
  <si>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</si>
  <si>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</si>
  <si>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</si>
  <si>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</si>
  <si>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</si>
  <si>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</si>
  <si>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</si>
  <si>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</si>
  <si>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</si>
  <si>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</si>
  <si>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</si>
  <si>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</si>
  <si>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</si>
  <si>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</si>
  <si>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</si>
  <si>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</si>
  <si>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</si>
  <si>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</si>
  <si>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</si>
  <si>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</si>
  <si>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</si>
  <si>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</si>
  <si>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</si>
  <si>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</si>
  <si>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</si>
  <si>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</si>
  <si>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</si>
  <si>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</si>
  <si>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</si>
  <si>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</si>
  <si>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</si>
  <si>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</si>
  <si>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</si>
  <si>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</si>
  <si>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</si>
  <si>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</si>
  <si>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</si>
  <si>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</si>
  <si>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</si>
  <si>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</si>
  <si>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</si>
  <si>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</si>
  <si>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</si>
  <si>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</si>
  <si>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</si>
  <si>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</si>
  <si>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</si>
  <si>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</si>
  <si>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</si>
  <si>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</si>
  <si>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</si>
  <si>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</si>
  <si>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</si>
  <si>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</si>
  <si>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</si>
  <si>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</si>
  <si>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</si>
  <si>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</si>
  <si>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</si>
  <si>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</si>
  <si>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</si>
  <si>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</si>
  <si>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</si>
  <si>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</si>
  <si>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</si>
  <si>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</si>
  <si>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</si>
  <si>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</si>
  <si>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</si>
  <si>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</si>
  <si>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</si>
  <si>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</si>
  <si>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</si>
  <si>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</si>
  <si>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</si>
  <si>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</si>
  <si>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</si>
  <si>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</si>
  <si>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</si>
  <si>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</si>
  <si>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</si>
  <si>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</si>
  <si>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</si>
  <si>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</si>
  <si>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</si>
  <si>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</si>
  <si>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</si>
  <si>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</si>
  <si>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</si>
  <si>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</si>
  <si>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</si>
  <si>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</si>
  <si>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</si>
  <si>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</si>
  <si>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</si>
  <si>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</si>
  <si>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</si>
  <si>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</si>
  <si>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</si>
  <si>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</si>
  <si>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</si>
  <si>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</si>
  <si>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</si>
  <si>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</si>
  <si>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</si>
  <si>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</si>
  <si>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</si>
  <si>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</si>
  <si>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</si>
  <si>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</si>
  <si>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</si>
  <si>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</si>
  <si>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</si>
  <si>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</si>
  <si>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</si>
  <si>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</si>
  <si>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</si>
  <si>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</si>
  <si>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</si>
  <si>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</si>
  <si>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</si>
  <si>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</si>
  <si>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</si>
  <si>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</si>
  <si>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</si>
  <si>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</si>
  <si>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</si>
  <si>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</si>
  <si>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</si>
  <si>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</si>
  <si>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</si>
  <si>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</si>
  <si>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</si>
  <si>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</si>
  <si>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</si>
  <si>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</si>
  <si>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</si>
  <si>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</si>
  <si>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</si>
  <si>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</si>
  <si>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</si>
  <si>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</si>
  <si>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</si>
  <si>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</si>
  <si>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</si>
  <si>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</si>
  <si>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</si>
  <si>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</si>
  <si>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</si>
  <si>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</si>
  <si>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</si>
  <si>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</si>
  <si>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</si>
  <si>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</si>
  <si>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</si>
  <si>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</si>
  <si>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</si>
  <si>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</si>
  <si>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</si>
  <si>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</si>
  <si>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</si>
  <si>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</si>
  <si>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</si>
  <si>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</si>
  <si>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</si>
  <si>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</si>
  <si>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</si>
  <si>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</si>
  <si>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</si>
  <si>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</si>
  <si>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</si>
  <si>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</si>
  <si>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</si>
  <si>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</si>
  <si>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</si>
  <si>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</si>
  <si>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</si>
  <si>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</si>
  <si>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</si>
  <si>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</si>
  <si>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</si>
  <si>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</si>
  <si>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</si>
  <si>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</si>
  <si>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</si>
  <si>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</si>
  <si>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</si>
  <si>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</si>
  <si>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</si>
  <si>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</si>
  <si>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</si>
  <si>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</si>
  <si>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</si>
  <si>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</si>
  <si>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</si>
  <si>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</si>
  <si>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</si>
  <si>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</si>
  <si>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</si>
  <si>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</si>
  <si>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</si>
  <si>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</si>
  <si>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</si>
  <si>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</si>
  <si>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</si>
  <si>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</si>
  <si>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</si>
  <si>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</si>
  <si>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</si>
  <si>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</si>
  <si>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</si>
  <si>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</si>
  <si>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</si>
  <si>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</si>
  <si>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</si>
  <si>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</si>
  <si>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</si>
  <si>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</si>
  <si>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</si>
  <si>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</si>
  <si>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</si>
  <si>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</si>
  <si>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</si>
  <si>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</si>
  <si>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</si>
  <si>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</si>
  <si>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</si>
  <si>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</si>
  <si>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</si>
  <si>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</si>
  <si>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</si>
  <si>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</si>
  <si>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</si>
  <si>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</si>
  <si>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</si>
  <si>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</si>
  <si>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</si>
  <si>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</si>
  <si>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</si>
  <si>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</si>
  <si>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</si>
  <si>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</si>
  <si>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</si>
  <si>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</si>
  <si>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</si>
  <si>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</si>
  <si>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</si>
  <si>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</si>
  <si>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</si>
  <si>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</si>
  <si>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</si>
  <si>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</si>
  <si>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</si>
  <si>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</si>
  <si>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</si>
  <si>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</si>
  <si>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</si>
  <si>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</si>
  <si>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</si>
  <si>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</si>
  <si>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</si>
  <si>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</si>
  <si>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</si>
  <si>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</si>
  <si>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</si>
  <si>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</si>
  <si>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</si>
  <si>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</si>
  <si>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</si>
  <si>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</si>
  <si>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</si>
  <si>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</si>
  <si>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</si>
  <si>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</si>
  <si>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</si>
  <si>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</si>
  <si>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</si>
  <si>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</si>
  <si>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</si>
  <si>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</si>
  <si>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</si>
  <si>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</si>
  <si>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</si>
  <si>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</si>
  <si>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</si>
  <si>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</si>
  <si>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</si>
  <si>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</si>
  <si>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</si>
  <si>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</si>
  <si>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</si>
  <si>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</si>
  <si>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</si>
  <si>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</si>
  <si>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</si>
  <si>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</si>
  <si>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</si>
  <si>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</si>
  <si>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</si>
  <si>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</si>
  <si>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</si>
  <si>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</si>
  <si>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</si>
  <si>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</si>
  <si>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</si>
  <si>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</si>
  <si>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</si>
  <si>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</si>
  <si>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</si>
  <si>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</si>
  <si>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</si>
  <si>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</si>
  <si>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</si>
  <si>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</si>
  <si>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</si>
  <si>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</si>
  <si>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</si>
  <si>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</si>
  <si>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</si>
  <si>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</si>
  <si>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</si>
  <si>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</si>
  <si>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</si>
  <si>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</si>
  <si>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</si>
  <si>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</si>
  <si>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</si>
  <si>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</si>
  <si>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</si>
  <si>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</si>
  <si>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</si>
  <si>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</si>
  <si>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</si>
  <si>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</si>
  <si>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</si>
  <si>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</si>
  <si>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</si>
  <si>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</si>
  <si>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</si>
  <si>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</si>
  <si>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</si>
  <si>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</si>
  <si>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</si>
  <si>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</si>
  <si>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</si>
  <si>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</si>
  <si>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</si>
  <si>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</si>
  <si>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</si>
  <si>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</si>
  <si>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</si>
  <si>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</si>
  <si>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</si>
  <si>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</si>
  <si>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</si>
  <si>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</si>
  <si>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</si>
  <si>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</si>
  <si>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</si>
  <si>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</si>
  <si>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</si>
  <si>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</si>
  <si>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</si>
  <si>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</si>
  <si>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</si>
  <si>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</si>
  <si>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</si>
  <si>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</si>
  <si>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</si>
  <si>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</si>
  <si>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</si>
  <si>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</si>
  <si>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</si>
  <si>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</si>
  <si>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</si>
  <si>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</si>
  <si>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</si>
  <si>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</si>
  <si>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</si>
  <si>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</si>
  <si>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</si>
  <si>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</si>
  <si>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</si>
  <si>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</si>
  <si>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</si>
  <si>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</si>
  <si>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</si>
  <si>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</si>
  <si>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</si>
  <si>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</si>
  <si>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</si>
  <si>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</si>
  <si>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</si>
  <si>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</si>
  <si>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</si>
  <si>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</si>
  <si>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</si>
  <si>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</si>
  <si>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</si>
  <si>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</si>
  <si>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</si>
  <si>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</si>
  <si>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</si>
  <si>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</si>
  <si>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</si>
  <si>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</si>
  <si>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</si>
  <si>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</si>
  <si>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</si>
  <si>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</si>
  <si>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</si>
  <si>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</si>
  <si>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</si>
  <si>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</si>
  <si>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</si>
  <si>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</si>
  <si>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</si>
  <si>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</si>
  <si>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</si>
  <si>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</si>
  <si>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</si>
  <si>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</si>
  <si>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</si>
  <si>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</si>
  <si>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</si>
  <si>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</si>
  <si>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</si>
  <si>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</si>
  <si>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</si>
  <si>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</si>
  <si>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</si>
  <si>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</si>
  <si>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</si>
  <si>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</si>
  <si>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</si>
  <si>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</si>
  <si>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</si>
  <si>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</si>
  <si>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</si>
  <si>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</si>
  <si>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</si>
  <si>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</si>
  <si>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</si>
  <si>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</si>
  <si>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</si>
  <si>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</si>
  <si>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</si>
  <si>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</si>
  <si>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</si>
  <si>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</si>
  <si>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</si>
  <si>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</si>
  <si>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</si>
  <si>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</si>
  <si>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</si>
  <si>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</si>
  <si>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</si>
  <si>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</si>
  <si>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</si>
  <si>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</si>
  <si>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</si>
  <si>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</si>
  <si>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</si>
  <si>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</si>
  <si>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</si>
  <si>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</si>
  <si>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</si>
  <si>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</si>
  <si>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</si>
  <si>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</si>
  <si>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</si>
  <si>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</si>
  <si>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</si>
  <si>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</si>
  <si>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</si>
  <si>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</si>
  <si>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</si>
  <si>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</si>
  <si>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</si>
  <si>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</si>
  <si>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</si>
  <si>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</si>
  <si>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</si>
  <si>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</si>
  <si>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</si>
  <si>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</si>
  <si>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</si>
  <si>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</si>
  <si>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</si>
  <si>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</si>
  <si>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</si>
  <si>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</si>
  <si>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</si>
  <si>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</si>
  <si>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</si>
  <si>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</si>
  <si>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</si>
  <si>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</si>
  <si>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</si>
  <si>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</si>
  <si>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</si>
  <si>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</si>
  <si>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</si>
  <si>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</si>
  <si>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</si>
  <si>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</si>
  <si>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</si>
  <si>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</si>
  <si>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</si>
  <si>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</si>
  <si>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</si>
  <si>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</si>
  <si>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</si>
  <si>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</si>
  <si>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</si>
  <si>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</si>
  <si>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</si>
  <si>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</si>
  <si>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</si>
  <si>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</si>
  <si>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</si>
  <si>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</si>
  <si>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</si>
  <si>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</si>
  <si>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</si>
  <si>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</si>
  <si>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</si>
  <si>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</si>
  <si>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</si>
  <si>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</si>
  <si>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</si>
  <si>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</si>
  <si>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</si>
  <si>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</si>
  <si>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</si>
  <si>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</si>
  <si>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</si>
  <si>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</si>
  <si>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</si>
  <si>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</si>
  <si>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</si>
  <si>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</si>
  <si>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</si>
  <si>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</si>
  <si>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</si>
  <si>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</si>
  <si>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</si>
  <si>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</si>
  <si>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</si>
  <si>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</si>
  <si>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</si>
  <si>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</si>
  <si>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</si>
  <si>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</si>
  <si>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</si>
  <si>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</si>
  <si>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</si>
  <si>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</si>
  <si>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</si>
  <si>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</si>
  <si>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</si>
  <si>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</si>
  <si>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</si>
  <si>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</si>
  <si>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</si>
  <si>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</si>
  <si>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</si>
  <si>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</si>
  <si>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</si>
  <si>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</si>
  <si>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</si>
  <si>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</si>
  <si>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</si>
  <si>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</si>
  <si>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</si>
  <si>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</si>
  <si>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</si>
  <si>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</si>
  <si>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</si>
  <si>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</si>
  <si>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</si>
  <si>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</si>
  <si>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</si>
  <si>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</si>
  <si>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</si>
  <si>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</si>
  <si>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</si>
  <si>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</si>
  <si>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</si>
  <si>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</si>
  <si>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</si>
  <si>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</si>
  <si>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</si>
  <si>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</si>
  <si>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</si>
  <si>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</si>
  <si>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</si>
  <si>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</si>
  <si>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</si>
  <si>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</si>
  <si>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</si>
  <si>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</si>
  <si>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</si>
  <si>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</si>
  <si>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</si>
  <si>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</si>
  <si>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</si>
  <si>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</si>
  <si>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</si>
  <si>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</si>
  <si>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</si>
  <si>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</si>
  <si>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</si>
  <si>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</si>
  <si>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</si>
  <si>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</si>
  <si>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</si>
  <si>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</si>
  <si>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</si>
  <si>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</si>
  <si>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</si>
  <si>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</si>
  <si>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</si>
  <si>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</si>
  <si>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</si>
  <si>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</si>
  <si>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</si>
  <si>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</si>
  <si>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</si>
  <si>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</si>
  <si>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</si>
  <si>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</si>
  <si>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</si>
  <si>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</si>
  <si>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</si>
  <si>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</si>
  <si>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</si>
  <si>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</si>
  <si>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</si>
  <si>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</si>
  <si>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</si>
  <si>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</si>
  <si>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</si>
  <si>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</si>
  <si>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</si>
  <si>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</si>
  <si>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</si>
  <si>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</si>
  <si>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</si>
  <si>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</si>
  <si>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</si>
  <si>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</si>
  <si>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</si>
  <si>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</si>
  <si>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</si>
  <si>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</si>
  <si>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</si>
  <si>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</si>
  <si>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</si>
  <si>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</si>
  <si>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</si>
  <si>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</si>
  <si>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</si>
  <si>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</si>
  <si>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</si>
  <si>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</si>
  <si>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</si>
  <si>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</si>
  <si>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</si>
  <si>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</si>
  <si>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</si>
  <si>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</si>
  <si>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</si>
  <si>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</si>
  <si>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</si>
  <si>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</si>
  <si>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</si>
  <si>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</si>
  <si>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</si>
  <si>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</si>
  <si>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</si>
  <si>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</si>
  <si>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</si>
  <si>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</si>
  <si>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</si>
  <si>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</si>
  <si>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</si>
  <si>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</si>
  <si>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</si>
  <si>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</si>
  <si>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</si>
  <si>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</si>
  <si>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</si>
  <si>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</si>
  <si>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</si>
  <si>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</si>
  <si>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</si>
  <si>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</si>
  <si>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</si>
  <si>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</si>
  <si>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</si>
  <si>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</si>
  <si>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</si>
  <si>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</si>
  <si>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</si>
  <si>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</si>
  <si>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</si>
  <si>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</si>
  <si>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</si>
  <si>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</si>
  <si>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</si>
  <si>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</si>
  <si>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</si>
  <si>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</si>
  <si>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</si>
  <si>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</si>
  <si>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</si>
  <si>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</si>
  <si>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</si>
  <si>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</si>
  <si>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</si>
  <si>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</si>
  <si>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</si>
  <si>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</si>
  <si>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</si>
  <si>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</si>
  <si>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</si>
  <si>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</si>
  <si>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</si>
  <si>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</si>
  <si>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</si>
  <si>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</si>
  <si>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</si>
  <si>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</si>
  <si>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</si>
  <si>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</si>
  <si>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</si>
  <si>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</si>
  <si>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</si>
  <si>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</si>
  <si>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</si>
  <si>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</si>
  <si>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</si>
  <si>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</si>
  <si>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</si>
  <si>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</si>
  <si>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</si>
  <si>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</si>
  <si>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</si>
  <si>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</si>
  <si>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</si>
  <si>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</si>
  <si>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</si>
  <si>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</si>
  <si>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</si>
  <si>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</si>
  <si>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</si>
  <si>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</si>
  <si>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</si>
  <si>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</si>
  <si>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</si>
  <si>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</si>
  <si>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</si>
  <si>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</si>
  <si>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</si>
  <si>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</si>
  <si>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</si>
  <si>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</si>
  <si>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</si>
  <si>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</si>
  <si>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</si>
  <si>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</si>
  <si>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</si>
  <si>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</si>
  <si>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</si>
  <si>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</si>
  <si>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</si>
  <si>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</si>
  <si>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</si>
  <si>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</si>
  <si>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</si>
  <si>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</si>
  <si>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</si>
  <si>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</si>
  <si>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</si>
  <si>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</si>
  <si>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</si>
  <si>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</si>
  <si>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</si>
  <si>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</si>
  <si>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</si>
  <si>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</si>
  <si>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</si>
  <si>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</si>
  <si>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</si>
  <si>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</si>
  <si>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</si>
  <si>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</si>
  <si>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</si>
  <si>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</si>
  <si>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</si>
  <si>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</si>
  <si>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</si>
  <si>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</si>
  <si>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</si>
  <si>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</si>
  <si>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</si>
  <si>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</si>
  <si>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</si>
  <si>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</si>
  <si>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</si>
  <si>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</si>
  <si>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</si>
  <si>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</si>
  <si>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</si>
  <si>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</si>
  <si>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</si>
  <si>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</si>
  <si>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</si>
  <si>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</si>
  <si>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</si>
  <si>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</si>
  <si>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</si>
  <si>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</si>
  <si>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</si>
  <si>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</si>
  <si>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</si>
  <si>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</si>
  <si>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</si>
  <si>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</si>
  <si>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</si>
  <si>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</si>
  <si>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</si>
  <si>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</si>
  <si>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</si>
  <si>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</si>
  <si>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</si>
  <si>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</si>
  <si>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</si>
  <si>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</si>
  <si>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</si>
  <si>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</si>
  <si>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</si>
  <si>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</si>
  <si>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</si>
  <si>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</si>
  <si>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</si>
  <si>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</si>
  <si>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</si>
  <si>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</si>
  <si>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</si>
  <si>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</si>
  <si>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</si>
  <si>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</si>
  <si>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</si>
  <si>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</si>
  <si>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</si>
  <si>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</si>
  <si>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</si>
  <si>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</si>
  <si>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</si>
  <si>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</si>
  <si>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</si>
  <si>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</si>
  <si>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</si>
  <si>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</si>
  <si>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</si>
  <si>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</si>
  <si>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</si>
  <si>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</si>
  <si>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</si>
  <si>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</si>
  <si>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</si>
  <si>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</si>
  <si>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</si>
  <si>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</si>
  <si>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</si>
  <si>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</si>
  <si>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</si>
  <si>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</si>
  <si>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</si>
  <si>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</si>
  <si>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</si>
  <si>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</si>
  <si>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</si>
  <si>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</si>
  <si>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</si>
  <si>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</si>
  <si>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</si>
  <si>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</si>
  <si>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</si>
  <si>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</si>
  <si>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</si>
  <si>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</si>
  <si>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</si>
  <si>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</si>
  <si>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</si>
  <si>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</si>
  <si>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</si>
  <si>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</si>
  <si>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</si>
  <si>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</si>
  <si>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</si>
  <si>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</si>
  <si>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</si>
  <si>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</si>
  <si>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</si>
  <si>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</si>
  <si>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</si>
  <si>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</si>
  <si>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</si>
  <si>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</si>
  <si>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</si>
  <si>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</si>
  <si>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</si>
  <si>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</si>
  <si>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</si>
  <si>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</si>
  <si>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</si>
  <si>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</si>
  <si>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</si>
  <si>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</si>
  <si>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</si>
  <si>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</si>
  <si>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</si>
  <si>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</si>
  <si>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</si>
  <si>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</si>
  <si>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</si>
  <si>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</si>
  <si>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</si>
  <si>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</si>
  <si>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</si>
  <si>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</si>
  <si>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</si>
  <si>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</si>
  <si>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</si>
  <si>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</si>
  <si>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</si>
  <si>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</si>
  <si>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</si>
  <si>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</si>
  <si>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</si>
  <si>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</si>
  <si>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</si>
  <si>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</si>
  <si>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</si>
  <si>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</si>
  <si>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</si>
  <si>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</si>
  <si>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</si>
  <si>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</si>
  <si>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</si>
  <si>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</si>
  <si>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</si>
  <si>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</si>
  <si>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</si>
  <si>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</si>
  <si>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</si>
  <si>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</si>
  <si>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</si>
  <si>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</si>
  <si>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</si>
  <si>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</si>
  <si>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</si>
  <si>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</si>
  <si>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</si>
  <si>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</si>
  <si>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</si>
  <si>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</si>
  <si>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</si>
  <si>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</si>
  <si>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</si>
  <si>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</si>
  <si>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</si>
  <si>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</si>
  <si>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</si>
  <si>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</si>
  <si>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</si>
  <si>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</si>
  <si>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</si>
  <si>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</si>
  <si>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</si>
  <si>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</si>
  <si>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</si>
  <si>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</si>
  <si>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</si>
  <si>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</si>
  <si>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</si>
  <si>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</si>
  <si>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</si>
  <si>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</si>
  <si>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</si>
  <si>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</si>
  <si>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</si>
  <si>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</si>
  <si>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</si>
  <si>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</si>
  <si>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</si>
  <si>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</si>
  <si>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</si>
  <si>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</si>
  <si>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</si>
  <si>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</si>
  <si>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</si>
  <si>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</si>
  <si>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</si>
  <si>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</si>
  <si>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</si>
  <si>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</si>
  <si>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</si>
  <si>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</si>
  <si>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</si>
  <si>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</si>
  <si>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</si>
  <si>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</si>
  <si>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</si>
  <si>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</si>
  <si>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</si>
  <si>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</si>
  <si>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</si>
  <si>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</si>
  <si>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</si>
  <si>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</si>
  <si>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</si>
  <si>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</si>
  <si>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</si>
  <si>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</si>
  <si>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</si>
  <si>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</si>
  <si>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</si>
  <si>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</si>
  <si>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</si>
  <si>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</si>
  <si>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</si>
  <si>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</si>
  <si>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</si>
  <si>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</si>
  <si>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</si>
  <si>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</si>
  <si>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</si>
  <si>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</si>
  <si>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</si>
  <si>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</si>
  <si>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</si>
  <si>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</si>
  <si>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</si>
  <si>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</si>
  <si>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</si>
  <si>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</si>
  <si>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</si>
  <si>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</si>
  <si>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</si>
  <si>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</si>
  <si>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</si>
  <si>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</si>
  <si>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</si>
  <si>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</si>
  <si>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</si>
  <si>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</si>
  <si>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</si>
  <si>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</si>
  <si>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</si>
  <si>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</si>
  <si>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</si>
  <si>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</si>
  <si>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</si>
  <si>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</si>
  <si>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</si>
  <si>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</si>
  <si>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</si>
  <si>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</si>
  <si>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</si>
  <si>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</si>
  <si>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</si>
  <si>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</si>
  <si>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</si>
  <si>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</si>
  <si>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</si>
  <si>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</si>
  <si>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</si>
  <si>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</si>
  <si>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</si>
  <si>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</si>
  <si>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</si>
  <si>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</si>
  <si>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</si>
  <si>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</si>
  <si>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</si>
  <si>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</si>
  <si>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</si>
  <si>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</si>
  <si>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</si>
  <si>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</si>
  <si>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</si>
  <si>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</si>
  <si>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</si>
  <si>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</si>
  <si>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</si>
  <si>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</si>
  <si>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</si>
  <si>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</si>
  <si>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</si>
  <si>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</si>
  <si>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</si>
  <si>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</si>
  <si>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</si>
  <si>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</si>
  <si>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</si>
  <si>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</si>
  <si>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</si>
  <si>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</si>
  <si>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</si>
  <si>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</si>
  <si>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</si>
  <si>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</si>
  <si>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</si>
  <si>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</si>
  <si>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</si>
  <si>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</si>
  <si>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</si>
  <si>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</si>
  <si>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</si>
  <si>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</si>
  <si>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</si>
  <si>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</si>
  <si>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</si>
  <si>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</si>
  <si>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</si>
  <si>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</si>
  <si>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</si>
  <si>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</si>
  <si>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</si>
  <si>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</si>
  <si>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</si>
  <si>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</si>
  <si>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</si>
  <si>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</si>
  <si>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</si>
  <si>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</si>
  <si>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</si>
  <si>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</si>
  <si>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</si>
  <si>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</si>
  <si>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</si>
  <si>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</si>
  <si>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</si>
  <si>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</si>
  <si>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</si>
  <si>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</si>
  <si>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</si>
  <si>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</si>
  <si>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</si>
  <si>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</si>
  <si>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</si>
  <si>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</si>
  <si>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</si>
  <si>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</si>
  <si>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</si>
  <si>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</si>
  <si>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</si>
  <si>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</si>
  <si>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</si>
  <si>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</si>
  <si>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</si>
  <si>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</si>
  <si>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</si>
  <si>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</si>
  <si>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</si>
  <si>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</si>
  <si>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</si>
  <si>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</si>
  <si>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</si>
  <si>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</si>
  <si>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</si>
  <si>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</si>
  <si>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</si>
  <si>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</si>
  <si>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</si>
  <si>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</si>
  <si>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</si>
  <si>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</si>
  <si>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</si>
  <si>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</si>
  <si>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</si>
  <si>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</si>
  <si>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</si>
  <si>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</si>
  <si>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</si>
  <si>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</si>
  <si>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</si>
  <si>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</si>
  <si>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</si>
  <si>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</si>
  <si>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</si>
  <si>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</si>
  <si>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</si>
  <si>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</si>
  <si>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</si>
  <si>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</si>
  <si>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</si>
  <si>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</si>
  <si>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</si>
  <si>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</si>
  <si>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</si>
  <si>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</si>
  <si>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</si>
  <si>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</si>
  <si>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</si>
  <si>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</si>
  <si>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</si>
  <si>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</si>
  <si>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</si>
  <si>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</si>
  <si>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</si>
  <si>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</si>
  <si>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</si>
  <si>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</si>
  <si>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</si>
  <si>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</si>
  <si>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</si>
  <si>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</si>
  <si>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</si>
  <si>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</si>
  <si>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</si>
  <si>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</si>
  <si>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</si>
  <si>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</si>
  <si>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</si>
  <si>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</si>
  <si>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</si>
  <si>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</si>
  <si>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</si>
  <si>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</si>
  <si>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</si>
  <si>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</si>
  <si>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</si>
  <si>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</si>
  <si>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</si>
  <si>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</si>
  <si>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</si>
  <si>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</si>
  <si>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</si>
  <si>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</si>
  <si>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</si>
  <si>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</si>
  <si>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</si>
  <si>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</si>
  <si>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</si>
  <si>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</si>
  <si>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</si>
  <si>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</si>
  <si>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</si>
  <si>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</si>
  <si>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</si>
  <si>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</si>
  <si>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</si>
  <si>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</si>
  <si>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</si>
  <si>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</si>
  <si>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</si>
  <si>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</si>
  <si>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</si>
  <si>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</si>
  <si>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</si>
  <si>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</si>
  <si>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</si>
  <si>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</si>
  <si>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</si>
  <si>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</si>
  <si>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</si>
  <si>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</si>
  <si>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</si>
  <si>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</si>
  <si>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</si>
  <si>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</si>
  <si>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</si>
  <si>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</si>
  <si>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</si>
  <si>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</si>
  <si>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</si>
  <si>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</si>
  <si>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</si>
  <si>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</si>
  <si>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</si>
  <si>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</si>
  <si>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</si>
  <si>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</si>
  <si>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</si>
  <si>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</si>
  <si>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</si>
  <si>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</si>
  <si>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</si>
  <si>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</si>
  <si>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</si>
  <si>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</si>
  <si>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</si>
  <si>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</si>
  <si>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</si>
  <si>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</si>
  <si>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</si>
  <si>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</si>
  <si>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</si>
  <si>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</si>
  <si>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</si>
  <si>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</si>
  <si>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</si>
  <si>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</si>
  <si>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</si>
  <si>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</si>
  <si>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</si>
  <si>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</si>
  <si>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</si>
  <si>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</si>
  <si>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</si>
  <si>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</si>
  <si>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</si>
  <si>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</si>
  <si>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</si>
  <si>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</si>
  <si>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</si>
  <si>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</si>
  <si>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</si>
  <si>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</si>
  <si>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</si>
  <si>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</si>
  <si>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</si>
  <si>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</si>
  <si>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</si>
  <si>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</si>
  <si>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</si>
  <si>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</si>
  <si>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</si>
  <si>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</si>
  <si>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</si>
  <si>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</si>
  <si>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</si>
  <si>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</si>
  <si>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</si>
  <si>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</si>
  <si>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</si>
  <si>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</si>
  <si>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</si>
  <si>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</si>
  <si>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</si>
  <si>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</si>
  <si>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</si>
  <si>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</si>
  <si>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</si>
  <si>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</si>
  <si>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</si>
  <si>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</si>
  <si>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</si>
  <si>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</si>
  <si>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</si>
  <si>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</si>
  <si>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</si>
  <si>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</si>
  <si>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</si>
  <si>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</si>
  <si>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</si>
  <si>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</si>
  <si>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</si>
  <si>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</si>
  <si>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</si>
  <si>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</si>
  <si>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</si>
  <si>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</si>
  <si>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</si>
  <si>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</si>
  <si>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</si>
  <si>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</si>
  <si>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</si>
  <si>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</si>
  <si>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</si>
  <si>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</si>
  <si>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</si>
  <si>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</si>
  <si>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</si>
  <si>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</si>
  <si>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</si>
  <si>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</si>
  <si>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</si>
  <si>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</si>
  <si>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</si>
  <si>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</si>
  <si>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</si>
  <si>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</si>
  <si>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</si>
  <si>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</si>
  <si>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</si>
  <si>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</si>
  <si>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</si>
  <si>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</si>
  <si>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</si>
  <si>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</si>
  <si>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</si>
  <si>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</si>
  <si>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</si>
  <si>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</si>
  <si>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</si>
  <si>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</si>
  <si>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</si>
  <si>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</si>
  <si>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</si>
  <si>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</si>
  <si>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</si>
  <si>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</si>
  <si>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</si>
  <si>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</si>
  <si>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</si>
  <si>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</si>
  <si>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</si>
  <si>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</si>
  <si>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</si>
  <si>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</si>
  <si>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</si>
  <si>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</si>
  <si>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</si>
  <si>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</si>
  <si>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</si>
  <si>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</si>
  <si>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</si>
  <si>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</si>
  <si>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</si>
  <si>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</si>
  <si>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</si>
  <si>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</si>
  <si>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</si>
  <si>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</si>
  <si>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</si>
  <si>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</si>
  <si>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</si>
  <si>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</si>
  <si>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</si>
  <si>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</si>
  <si>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</si>
  <si>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</si>
  <si>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</si>
  <si>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</si>
  <si>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</si>
  <si>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</si>
  <si>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</si>
  <si>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</si>
  <si>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</si>
  <si>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</si>
  <si>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</si>
  <si>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</si>
  <si>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</si>
  <si>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</si>
  <si>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</si>
  <si>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</si>
  <si>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</si>
  <si>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</si>
  <si>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</si>
  <si>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</si>
  <si>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</si>
  <si>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</si>
  <si>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</si>
  <si>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</si>
  <si>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</si>
  <si>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</si>
  <si>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</si>
  <si>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</si>
  <si>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</si>
  <si>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</si>
  <si>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</si>
  <si>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</si>
  <si>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</si>
  <si>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</si>
  <si>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</si>
  <si>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</si>
  <si>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</si>
  <si>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</si>
  <si>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</si>
  <si>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</si>
  <si>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</si>
  <si>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</si>
  <si>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</si>
  <si>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</si>
  <si>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</si>
  <si>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</si>
  <si>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</si>
  <si>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</si>
  <si>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</si>
  <si>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</si>
  <si>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</si>
  <si>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</si>
  <si>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</si>
  <si>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</si>
  <si>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</si>
  <si>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</si>
  <si>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</si>
  <si>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</si>
  <si>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</si>
  <si>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</si>
  <si>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</si>
  <si>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</si>
  <si>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</si>
  <si>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</si>
  <si>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</si>
  <si>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</si>
  <si>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</si>
  <si>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</si>
  <si>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</si>
  <si>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</si>
  <si>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</si>
  <si>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</si>
  <si>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</si>
  <si>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</si>
  <si>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</si>
  <si>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</si>
  <si>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</si>
  <si>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</si>
  <si>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</si>
  <si>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</si>
  <si>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</si>
  <si>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</si>
  <si>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</si>
  <si>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</si>
  <si>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</si>
  <si>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</si>
  <si>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</si>
  <si>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</si>
  <si>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</si>
  <si>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</si>
  <si>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</si>
  <si>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</si>
  <si>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</si>
  <si>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</si>
  <si>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</si>
  <si>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</si>
  <si>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</si>
  <si>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</si>
  <si>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</si>
  <si>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</si>
  <si>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</si>
  <si>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</si>
  <si>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</si>
  <si>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</si>
  <si>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</si>
  <si>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</si>
  <si>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</si>
  <si>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</si>
  <si>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</si>
  <si>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</si>
  <si>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</si>
  <si>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</si>
  <si>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</si>
  <si>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</si>
  <si>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</si>
  <si>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</si>
  <si>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</si>
  <si>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</si>
  <si>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</si>
  <si>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</si>
  <si>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</si>
  <si>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</si>
  <si>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</si>
  <si>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</si>
  <si>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</si>
  <si>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</si>
  <si>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</si>
  <si>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</si>
  <si>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</si>
  <si>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</si>
  <si>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</si>
  <si>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</si>
  <si>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</si>
  <si>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</si>
  <si>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</si>
  <si>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</si>
  <si>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</si>
  <si>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</si>
  <si>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</si>
  <si>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</si>
  <si>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</si>
  <si>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</si>
  <si>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</si>
  <si>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</si>
  <si>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</si>
  <si>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</si>
  <si>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</si>
  <si>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</si>
  <si>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</si>
  <si>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</si>
  <si>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</si>
  <si>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</si>
  <si>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</si>
  <si>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</si>
  <si>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</si>
  <si>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</si>
  <si>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</si>
  <si>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</si>
  <si>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</si>
  <si>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</si>
  <si>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</si>
  <si>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</si>
  <si>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</si>
  <si>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</si>
  <si>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</si>
  <si>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</si>
  <si>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</si>
  <si>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</si>
  <si>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</si>
  <si>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</si>
  <si>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</si>
  <si>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</si>
  <si>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</si>
  <si>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</si>
  <si>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</si>
  <si>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</si>
  <si>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</si>
  <si>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</si>
  <si>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</si>
  <si>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</si>
  <si>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</si>
  <si>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</si>
  <si>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</si>
  <si>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</si>
  <si>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</si>
  <si>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</si>
  <si>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</si>
  <si>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</si>
  <si>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</si>
  <si>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</si>
  <si>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</si>
  <si>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</si>
  <si>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</si>
  <si>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</si>
  <si>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</si>
  <si>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</si>
  <si>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</si>
  <si>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</si>
  <si>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</si>
  <si>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</si>
  <si>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</si>
  <si>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</si>
  <si>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</si>
  <si>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</si>
  <si>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</si>
  <si>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</si>
  <si>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</si>
  <si>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</si>
  <si>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</si>
  <si>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</si>
  <si>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</si>
  <si>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</si>
  <si>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</si>
  <si>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</si>
  <si>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</si>
  <si>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</si>
  <si>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</si>
  <si>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</si>
  <si>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</si>
  <si>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</si>
  <si>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</si>
  <si>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</si>
  <si>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</si>
  <si>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</si>
  <si>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</si>
  <si>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</si>
  <si>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</si>
  <si>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</si>
  <si>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</si>
  <si>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</si>
  <si>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</si>
  <si>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</si>
  <si>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</si>
  <si>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</si>
  <si>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</si>
  <si>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</si>
  <si>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</si>
  <si>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</si>
  <si>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</si>
  <si>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</si>
  <si>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</si>
  <si>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</si>
  <si>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</si>
  <si>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</si>
  <si>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</si>
  <si>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</si>
  <si>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</si>
  <si>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</si>
  <si>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</si>
  <si>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</si>
  <si>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</si>
  <si>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</si>
  <si>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</si>
  <si>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</si>
  <si>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</si>
  <si>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</si>
  <si>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</si>
  <si>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</si>
  <si>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</si>
  <si>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</si>
  <si>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</si>
  <si>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</si>
  <si>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</si>
  <si>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</si>
  <si>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</si>
  <si>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</si>
  <si>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</si>
  <si>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</si>
  <si>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</si>
  <si>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</si>
  <si>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</si>
  <si>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</si>
  <si>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</si>
  <si>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</si>
  <si>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</si>
  <si>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</si>
  <si>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</si>
  <si>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</si>
  <si>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</si>
  <si>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</si>
  <si>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</si>
  <si>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</si>
  <si>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</si>
  <si>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</si>
  <si>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</si>
  <si>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</si>
  <si>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</si>
  <si>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</si>
  <si>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</si>
  <si>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</si>
  <si>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</si>
  <si>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</si>
  <si>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</si>
  <si>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</si>
  <si>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</si>
  <si>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</si>
  <si>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</si>
  <si>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</si>
  <si>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</si>
  <si>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</si>
  <si>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</si>
  <si>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</si>
  <si>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</si>
  <si>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</si>
  <si>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</si>
  <si>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</si>
  <si>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</si>
  <si>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</si>
  <si>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</si>
  <si>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</si>
  <si>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</si>
  <si>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</si>
  <si>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</si>
  <si>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</si>
  <si>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</si>
  <si>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</si>
  <si>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</si>
  <si>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</si>
  <si>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</si>
  <si>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</si>
  <si>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</si>
  <si>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</si>
  <si>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</si>
  <si>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</si>
  <si>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</si>
  <si>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</si>
  <si>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</si>
  <si>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</si>
  <si>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</si>
  <si>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</si>
  <si>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</si>
  <si>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</si>
  <si>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</si>
  <si>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</si>
  <si>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</si>
  <si>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</si>
  <si>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</si>
  <si>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</si>
  <si>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</si>
  <si>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</si>
  <si>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</si>
  <si>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</si>
  <si>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</si>
  <si>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</si>
  <si>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</si>
  <si>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</si>
  <si>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</si>
  <si>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</si>
  <si>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</si>
  <si>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</si>
  <si>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</si>
  <si>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</si>
  <si>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</si>
  <si>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</si>
  <si>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</si>
  <si>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</si>
  <si>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</si>
  <si>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</si>
  <si>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</si>
  <si>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</si>
  <si>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</si>
  <si>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</si>
  <si>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</si>
  <si>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</si>
  <si>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</si>
  <si>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</si>
  <si>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</si>
  <si>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</si>
  <si>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</si>
  <si>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</si>
  <si>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</si>
  <si>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</si>
  <si>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</si>
  <si>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</si>
  <si>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</si>
  <si>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</si>
  <si>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</si>
  <si>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</si>
  <si>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</si>
  <si>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</si>
  <si>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</si>
  <si>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</si>
  <si>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</si>
  <si>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</si>
  <si>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</si>
  <si>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</si>
  <si>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</si>
  <si>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</si>
  <si>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</si>
  <si>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</si>
  <si>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</si>
  <si>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</si>
  <si>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</si>
  <si>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</si>
  <si>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</si>
  <si>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</si>
  <si>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</si>
  <si>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</si>
  <si>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</si>
  <si>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</si>
  <si>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</si>
  <si>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</si>
  <si>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</si>
  <si>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</si>
  <si>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</si>
  <si>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</si>
  <si>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</si>
  <si>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</si>
  <si>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</si>
  <si>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</si>
  <si>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</si>
  <si>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</si>
  <si>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</si>
  <si>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</si>
  <si>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</si>
  <si>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</si>
  <si>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</si>
  <si>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</si>
  <si>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</si>
  <si>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</si>
  <si>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</si>
  <si>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</si>
  <si>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</si>
  <si>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</si>
  <si>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</si>
  <si>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</si>
  <si>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</si>
  <si>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</si>
  <si>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</si>
  <si>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</si>
  <si>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</si>
  <si>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</si>
  <si>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</si>
  <si>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</si>
  <si>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</si>
  <si>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</si>
  <si>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</si>
  <si>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</si>
  <si>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</si>
  <si>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</si>
  <si>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</si>
  <si>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</si>
  <si>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</si>
  <si>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</si>
  <si>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</si>
  <si>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</si>
  <si>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</si>
  <si>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</si>
  <si>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</si>
  <si>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</si>
  <si>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</si>
  <si>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</si>
  <si>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</si>
  <si>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</si>
  <si>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</si>
  <si>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</si>
  <si>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</si>
  <si>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</si>
  <si>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</si>
  <si>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</si>
  <si>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</si>
  <si>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</si>
  <si>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</si>
  <si>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</si>
  <si>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</si>
  <si>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</si>
  <si>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</si>
  <si>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</si>
  <si>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</si>
  <si>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</si>
  <si>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</si>
  <si>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</si>
  <si>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</si>
  <si>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</si>
  <si>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</si>
  <si>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</si>
  <si>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</si>
  <si>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</si>
  <si>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</si>
  <si>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</si>
  <si>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</si>
  <si>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</si>
  <si>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</si>
  <si>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</si>
  <si>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</si>
  <si>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</si>
  <si>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</si>
  <si>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</si>
  <si>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</si>
  <si>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</si>
  <si>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</si>
  <si>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</si>
  <si>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</si>
  <si>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</si>
  <si>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</si>
  <si>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</si>
  <si>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</si>
  <si>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</si>
  <si>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</si>
  <si>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</si>
  <si>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</si>
  <si>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</si>
  <si>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</si>
  <si>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</si>
  <si>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</si>
  <si>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</si>
  <si>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</si>
  <si>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</si>
  <si>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</si>
  <si>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</si>
  <si>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</si>
  <si>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</si>
  <si>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</si>
  <si>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</si>
  <si>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</si>
  <si>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</si>
  <si>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</si>
  <si>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</si>
  <si>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</si>
  <si>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</si>
  <si>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</si>
  <si>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</si>
  <si>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</si>
  <si>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</si>
  <si>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</si>
  <si>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</si>
  <si>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</si>
  <si>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</si>
  <si>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</si>
  <si>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</si>
  <si>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</si>
  <si>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</si>
  <si>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</si>
  <si>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</si>
  <si>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</si>
  <si>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</si>
  <si>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</si>
  <si>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</si>
  <si>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</si>
  <si>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</si>
  <si>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</si>
  <si>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</si>
  <si>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</si>
  <si>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</si>
  <si>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</si>
  <si>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</si>
  <si>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</si>
  <si>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</si>
  <si>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</si>
  <si>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</si>
  <si>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</si>
  <si>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</si>
  <si>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</si>
  <si>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</si>
  <si>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</si>
  <si>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</si>
  <si>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</si>
  <si>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</si>
  <si>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</si>
  <si>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</si>
  <si>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</si>
  <si>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</si>
  <si>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</si>
  <si>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</si>
  <si>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</si>
  <si>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</si>
  <si>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</si>
  <si>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</si>
  <si>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</si>
  <si>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</si>
  <si>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</si>
  <si>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</si>
  <si>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</si>
  <si>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</si>
  <si>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</si>
  <si>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</si>
  <si>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</si>
  <si>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</si>
  <si>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</si>
  <si>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</si>
  <si>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</si>
  <si>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</si>
  <si>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</si>
  <si>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</si>
  <si>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</si>
  <si>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</si>
  <si>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</si>
  <si>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</si>
  <si>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</si>
  <si>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</si>
  <si>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</si>
  <si>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</si>
  <si>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</si>
  <si>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</si>
  <si>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</si>
  <si>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</si>
  <si>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</si>
  <si>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</si>
  <si>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</si>
  <si>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</si>
  <si>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</si>
  <si>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</si>
  <si>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</si>
  <si>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</si>
  <si>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</si>
  <si>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</si>
  <si>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</si>
  <si>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</si>
  <si>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</si>
  <si>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</si>
  <si>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</si>
  <si>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</si>
  <si>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</si>
  <si>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</si>
  <si>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</si>
  <si>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</si>
  <si>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</si>
  <si>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</si>
  <si>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</si>
  <si>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</si>
  <si>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</si>
  <si>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</si>
  <si>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</si>
  <si>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</si>
  <si>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</si>
  <si>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</si>
  <si>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</si>
  <si>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</si>
  <si>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</si>
  <si>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</si>
  <si>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</si>
  <si>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</si>
  <si>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</si>
  <si>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</si>
  <si>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</si>
  <si>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</si>
  <si>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</si>
  <si>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</si>
  <si>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</si>
  <si>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</si>
  <si>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</si>
  <si>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</si>
  <si>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</si>
  <si>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</si>
  <si>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</si>
  <si>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</si>
  <si>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</si>
  <si>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</si>
  <si>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</si>
  <si>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</si>
  <si>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</si>
  <si>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</si>
  <si>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</si>
  <si>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</si>
  <si>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</si>
  <si>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</si>
  <si>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</si>
  <si>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</si>
  <si>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</si>
  <si>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</si>
  <si>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</si>
  <si>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</si>
  <si>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</si>
  <si>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</si>
  <si>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</si>
  <si>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</si>
  <si>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</si>
  <si>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</si>
  <si>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</si>
  <si>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</si>
  <si>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</si>
  <si>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</si>
  <si>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</si>
  <si>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</si>
  <si>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</si>
  <si>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</si>
  <si>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</si>
  <si>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</si>
  <si>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</si>
  <si>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</si>
  <si>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</si>
  <si>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</si>
  <si>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</si>
  <si>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</si>
  <si>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</si>
  <si>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</si>
  <si>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</si>
  <si>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</si>
  <si>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</si>
  <si>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</si>
  <si>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</si>
  <si>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</si>
  <si>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</si>
  <si>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</si>
  <si>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</si>
  <si>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</si>
  <si>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</si>
  <si>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</si>
  <si>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</si>
  <si>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</si>
  <si>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</si>
  <si>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</si>
  <si>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</si>
  <si>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</si>
  <si>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</si>
  <si>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</si>
  <si>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</si>
  <si>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</si>
  <si>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</si>
  <si>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</si>
  <si>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</si>
  <si>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</si>
  <si>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</si>
  <si>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</si>
  <si>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</si>
  <si>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</si>
  <si>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</si>
  <si>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</si>
  <si>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</si>
  <si>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</si>
  <si>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</si>
  <si>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</si>
  <si>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</si>
  <si>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</si>
  <si>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</si>
  <si>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</si>
  <si>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</si>
  <si>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</si>
  <si>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</si>
  <si>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</si>
  <si>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</si>
  <si>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</si>
  <si>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</si>
  <si>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</si>
  <si>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</si>
  <si>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</si>
  <si>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</si>
  <si>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</si>
  <si>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</si>
  <si>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</si>
  <si>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</si>
  <si>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</si>
  <si>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</si>
  <si>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</si>
  <si>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</si>
  <si>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</si>
  <si>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</si>
  <si>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</si>
  <si>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</si>
  <si>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</si>
  <si>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</si>
  <si>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</si>
  <si>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</si>
  <si>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</si>
  <si>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</si>
  <si>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</si>
  <si>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</si>
  <si>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</si>
  <si>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</si>
  <si>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</si>
  <si>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</si>
  <si>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</si>
  <si>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</si>
  <si>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</si>
  <si>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</si>
  <si>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</si>
  <si>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</si>
  <si>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</si>
  <si>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</si>
  <si>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</si>
  <si>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</si>
  <si>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</si>
  <si>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</si>
  <si>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</si>
  <si>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</si>
  <si>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</si>
  <si>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</si>
  <si>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</si>
  <si>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</si>
  <si>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</si>
  <si>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</si>
  <si>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</si>
  <si>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</si>
  <si>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</si>
  <si>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</si>
  <si>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</si>
  <si>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</si>
  <si>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</si>
  <si>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</si>
  <si>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</si>
  <si>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</si>
  <si>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</si>
  <si>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</si>
  <si>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</si>
  <si>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</si>
  <si>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</si>
  <si>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</si>
  <si>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</si>
  <si>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</si>
  <si>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</si>
  <si>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</si>
  <si>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</si>
  <si>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</si>
  <si>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</si>
  <si>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</si>
  <si>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</si>
  <si>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</si>
  <si>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</si>
  <si>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</si>
  <si>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</si>
  <si>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</si>
  <si>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</si>
  <si>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</si>
  <si>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</si>
  <si>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</si>
  <si>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</si>
  <si>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</si>
  <si>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</si>
  <si>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</si>
  <si>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</si>
  <si>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</si>
  <si>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</si>
  <si>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</si>
  <si>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</si>
  <si>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</si>
  <si>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</si>
  <si>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</si>
  <si>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</si>
  <si>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</si>
  <si>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</si>
  <si>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</si>
  <si>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</si>
  <si>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</si>
  <si>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</si>
  <si>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</si>
  <si>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</si>
  <si>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</si>
  <si>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</si>
  <si>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</si>
  <si>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</si>
  <si>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</si>
  <si>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</si>
  <si>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</si>
  <si>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</si>
  <si>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</si>
  <si>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</si>
  <si>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</si>
  <si>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</si>
  <si>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</si>
  <si>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</si>
  <si>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</si>
  <si>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</si>
  <si>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</si>
  <si>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</si>
  <si>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</si>
  <si>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</si>
  <si>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</si>
  <si>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</si>
  <si>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</si>
  <si>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</si>
  <si>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</si>
  <si>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</si>
  <si>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</si>
  <si>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</si>
  <si>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</si>
  <si>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</si>
  <si>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</si>
  <si>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</si>
  <si>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</si>
  <si>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</si>
  <si>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</si>
  <si>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</si>
  <si>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</si>
  <si>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</si>
  <si>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</si>
  <si>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</si>
  <si>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</si>
  <si>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</si>
  <si>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</si>
  <si>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</si>
  <si>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</si>
  <si>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</si>
  <si>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</si>
  <si>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</si>
  <si>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</si>
  <si>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</si>
  <si>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</si>
  <si>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</si>
  <si>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</si>
  <si>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</si>
  <si>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</si>
  <si>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</si>
  <si>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</si>
  <si>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</si>
  <si>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</si>
  <si>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</si>
  <si>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</si>
  <si>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</si>
  <si>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</si>
  <si>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</si>
  <si>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</si>
  <si>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</si>
  <si>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</si>
  <si>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</si>
  <si>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</si>
  <si>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</si>
  <si>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</si>
  <si>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</si>
  <si>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</si>
  <si>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</si>
  <si>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</si>
  <si>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</si>
  <si>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</si>
  <si>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</si>
  <si>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</si>
  <si>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</si>
  <si>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</si>
  <si>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</si>
  <si>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</si>
  <si>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</si>
  <si>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</si>
  <si>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</si>
  <si>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</si>
  <si>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</si>
  <si>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</si>
  <si>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</si>
  <si>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</si>
  <si>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</si>
  <si>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</si>
  <si>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</si>
  <si>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</si>
  <si>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</si>
  <si>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</si>
  <si>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</si>
  <si>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</si>
  <si>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</si>
  <si>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</si>
  <si>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</si>
  <si>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</si>
  <si>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</si>
  <si>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</si>
  <si>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</si>
  <si>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</si>
  <si>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</si>
  <si>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</si>
  <si>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</si>
  <si>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</si>
  <si>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</si>
  <si>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</si>
  <si>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</si>
  <si>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</si>
  <si>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</si>
  <si>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</si>
  <si>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</si>
  <si>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</si>
  <si>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</si>
  <si>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</si>
  <si>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</si>
  <si>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</si>
  <si>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</si>
  <si>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</si>
  <si>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</si>
  <si>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</si>
  <si>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</si>
  <si>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</si>
  <si>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</si>
  <si>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</si>
  <si>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</si>
  <si>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</si>
  <si>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</si>
  <si>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</si>
  <si>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</si>
  <si>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</si>
  <si>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</si>
  <si>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</si>
  <si>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</si>
  <si>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</si>
  <si>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</si>
  <si>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</si>
  <si>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</si>
  <si>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</si>
  <si>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</si>
  <si>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</si>
  <si>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</si>
  <si>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</si>
  <si>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</si>
  <si>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</si>
  <si>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</si>
  <si>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</si>
  <si>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</si>
  <si>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</si>
  <si>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</si>
  <si>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</si>
  <si>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</si>
  <si>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</si>
  <si>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</si>
  <si>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</si>
  <si>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</si>
  <si>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</si>
  <si>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</si>
  <si>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</si>
  <si>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</si>
  <si>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</si>
  <si>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</si>
  <si>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</si>
  <si>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</si>
  <si>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</si>
  <si>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</si>
  <si>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</si>
  <si>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</si>
  <si>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</si>
  <si>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</si>
  <si>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</si>
  <si>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</si>
  <si>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</si>
  <si>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</si>
  <si>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</si>
  <si>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</si>
  <si>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</si>
  <si>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</si>
  <si>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</si>
  <si>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</si>
  <si>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</si>
  <si>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</si>
  <si>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</si>
  <si>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</si>
  <si>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</si>
  <si>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</si>
  <si>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</si>
  <si>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</si>
  <si>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</si>
  <si>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</si>
  <si>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</si>
  <si>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</si>
  <si>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</si>
  <si>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</si>
  <si>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</si>
  <si>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</si>
  <si>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</si>
  <si>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</si>
  <si>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</si>
  <si>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</si>
  <si>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</si>
  <si>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</si>
  <si>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</si>
  <si>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</si>
  <si>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</si>
  <si>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</si>
  <si>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</si>
  <si>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</si>
  <si>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</si>
  <si>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</si>
  <si>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</si>
  <si>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</si>
  <si>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</si>
  <si>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</si>
  <si>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</si>
  <si>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</si>
  <si>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</si>
  <si>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</si>
  <si>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</si>
  <si>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</si>
  <si>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</si>
  <si>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</si>
  <si>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</si>
  <si>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</si>
  <si>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</si>
  <si>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</si>
  <si>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</si>
  <si>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</si>
  <si>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</si>
  <si>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</si>
  <si>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</si>
  <si>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</si>
  <si>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</si>
  <si>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</si>
  <si>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</si>
  <si>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</si>
  <si>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</si>
  <si>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</si>
  <si>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</si>
  <si>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</si>
  <si>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</si>
  <si>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</si>
  <si>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</si>
  <si>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</si>
  <si>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</si>
  <si>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</si>
  <si>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</si>
  <si>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</si>
  <si>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</si>
  <si>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</si>
  <si>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</si>
  <si>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</si>
  <si>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</si>
  <si>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</si>
  <si>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</si>
  <si>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</si>
  <si>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</si>
  <si>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</si>
  <si>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</si>
  <si>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</si>
  <si>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</si>
  <si>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</si>
  <si>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</si>
  <si>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</si>
  <si>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</si>
  <si>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</si>
  <si>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</si>
  <si>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</si>
  <si>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</si>
  <si>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</si>
  <si>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</si>
  <si>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</si>
  <si>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</si>
  <si>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</si>
  <si>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</si>
  <si>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</si>
  <si>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</si>
  <si>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</si>
  <si>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</si>
  <si>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</si>
  <si>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</si>
  <si>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</si>
  <si>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</si>
  <si>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</si>
  <si>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</si>
  <si>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</si>
  <si>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</si>
  <si>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</si>
  <si>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</si>
  <si>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</si>
  <si>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</si>
  <si>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</si>
  <si>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</si>
  <si>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</si>
  <si>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</si>
  <si>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</si>
  <si>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</si>
  <si>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</si>
  <si>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</si>
  <si>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</si>
  <si>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</si>
  <si>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</si>
  <si>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</si>
  <si>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</si>
  <si>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</si>
  <si>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</si>
  <si>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</si>
  <si>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</si>
  <si>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</si>
  <si>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</si>
  <si>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</si>
  <si>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</si>
  <si>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</si>
  <si>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</si>
  <si>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</si>
  <si>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</si>
  <si>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</si>
  <si>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</si>
  <si>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</si>
  <si>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</si>
  <si>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</si>
  <si>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</si>
  <si>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</si>
  <si>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</si>
  <si>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</si>
  <si>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</si>
  <si>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</si>
  <si>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</si>
  <si>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</si>
  <si>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</si>
  <si>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</si>
  <si>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</si>
  <si>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</si>
  <si>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</si>
  <si>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</si>
  <si>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</si>
  <si>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</si>
  <si>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</si>
  <si>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</si>
  <si>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</si>
  <si>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</si>
  <si>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</si>
  <si>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</si>
  <si>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</si>
  <si>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</si>
  <si>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</si>
  <si>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</si>
  <si>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</si>
  <si>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</si>
  <si>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</si>
  <si>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</si>
  <si>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</si>
  <si>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</si>
  <si>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</si>
  <si>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</si>
  <si>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</si>
  <si>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</si>
  <si>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</si>
  <si>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</si>
  <si>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</si>
  <si>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</si>
  <si>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</si>
  <si>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</si>
  <si>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</si>
  <si>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</si>
  <si>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</si>
  <si>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</si>
  <si>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</si>
  <si>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</si>
  <si>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</si>
  <si>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</si>
  <si>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</si>
  <si>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</si>
  <si>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</si>
  <si>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</si>
  <si>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</si>
  <si>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</si>
  <si>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</si>
  <si>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</si>
  <si>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</si>
  <si>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</si>
  <si>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</si>
  <si>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</si>
  <si>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</si>
  <si>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</si>
  <si>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</si>
  <si>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</si>
  <si>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</si>
  <si>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</si>
  <si>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</si>
  <si>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</si>
  <si>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</si>
  <si>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</si>
  <si>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</si>
  <si>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</si>
  <si>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</si>
  <si>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</si>
  <si>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</si>
  <si>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</si>
  <si>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</si>
  <si>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</si>
  <si>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</si>
  <si>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</si>
  <si>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</si>
  <si>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</si>
  <si>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</si>
  <si>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</si>
  <si>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</si>
  <si>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</si>
  <si>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</si>
  <si>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</si>
  <si>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</si>
  <si>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</si>
  <si>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</si>
  <si>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</si>
  <si>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</si>
  <si>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</si>
  <si>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</si>
  <si>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</si>
  <si>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</si>
  <si>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</si>
  <si>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</si>
  <si>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</si>
  <si>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</si>
  <si>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</si>
  <si>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</si>
  <si>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</si>
  <si>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</si>
  <si>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</si>
  <si>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</si>
  <si>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</si>
  <si>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</si>
  <si>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</si>
  <si>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</si>
  <si>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</si>
  <si>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</si>
  <si>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</si>
  <si>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</si>
  <si>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</si>
  <si>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</si>
  <si>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</si>
  <si>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</si>
  <si>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</si>
  <si>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</si>
  <si>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</si>
  <si>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</si>
  <si>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</si>
  <si>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</si>
  <si>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</si>
  <si>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</si>
  <si>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</si>
  <si>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</si>
  <si>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</si>
  <si>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</si>
  <si>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</si>
  <si>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</si>
  <si>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</si>
  <si>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</si>
  <si>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</si>
  <si>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</si>
  <si>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</si>
  <si>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</si>
  <si>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</si>
  <si>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</si>
  <si>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</si>
  <si>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</si>
  <si>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</si>
  <si>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</si>
  <si>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</si>
  <si>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</si>
  <si>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</si>
  <si>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</si>
  <si>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</si>
  <si>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</si>
  <si>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</si>
  <si>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</si>
  <si>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</si>
  <si>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</si>
  <si>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</si>
  <si>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</si>
  <si>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</si>
  <si>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</si>
  <si>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</si>
  <si>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</si>
  <si>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</si>
  <si>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</si>
  <si>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</si>
  <si>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</si>
  <si>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</si>
  <si>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</si>
  <si>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</si>
  <si>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</si>
  <si>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</si>
  <si>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</si>
  <si>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</si>
  <si>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</si>
  <si>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</si>
  <si>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</si>
  <si>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</si>
  <si>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</si>
  <si>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</si>
  <si>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</si>
  <si>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</si>
  <si>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</si>
  <si>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</si>
  <si>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</si>
  <si>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</si>
  <si>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</si>
  <si>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</si>
  <si>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</si>
  <si>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</si>
  <si>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</si>
  <si>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</si>
  <si>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</si>
  <si>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</si>
  <si>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</si>
  <si>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</si>
  <si>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</si>
  <si>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</si>
  <si>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</si>
  <si>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</si>
  <si>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</si>
  <si>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</si>
  <si>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</si>
  <si>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</si>
  <si>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</si>
  <si>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</si>
  <si>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</si>
  <si>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</si>
  <si>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</si>
  <si>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</si>
  <si>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</si>
  <si>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</si>
  <si>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</si>
  <si>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</si>
  <si>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</si>
  <si>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</si>
  <si>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</si>
  <si>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</si>
  <si>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</si>
  <si>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</si>
  <si>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</si>
  <si>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</si>
  <si>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</si>
  <si>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</si>
  <si>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</si>
  <si>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</si>
  <si>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</si>
  <si>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</si>
  <si>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</si>
  <si>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</si>
  <si>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</si>
  <si>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</si>
  <si>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</si>
  <si>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</si>
  <si>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</si>
  <si>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</si>
  <si>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</si>
  <si>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</si>
  <si>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</si>
  <si>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</si>
  <si>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</si>
  <si>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</si>
  <si>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</si>
  <si>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</si>
  <si>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</si>
  <si>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</si>
  <si>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</si>
  <si>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</si>
  <si>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</si>
  <si>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</si>
  <si>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</si>
  <si>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</si>
  <si>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</si>
  <si>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</si>
  <si>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</si>
  <si>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</si>
  <si>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</si>
  <si>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</si>
  <si>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</si>
  <si>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</si>
  <si>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</si>
  <si>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</si>
  <si>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</si>
  <si>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</si>
  <si>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</si>
  <si>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</si>
  <si>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</si>
  <si>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</si>
  <si>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</si>
  <si>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</si>
  <si>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</si>
  <si>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</si>
  <si>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</si>
  <si>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</si>
  <si>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</si>
  <si>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</si>
  <si>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</si>
  <si>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</si>
  <si>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</si>
  <si>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</si>
  <si>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</si>
  <si>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</si>
  <si>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</si>
  <si>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</si>
  <si>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</si>
  <si>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</si>
  <si>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</si>
  <si>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</si>
  <si>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</si>
  <si>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</si>
  <si>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</si>
  <si>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</si>
  <si>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</si>
  <si>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</si>
  <si>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</si>
  <si>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</si>
  <si>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</si>
  <si>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</si>
  <si>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</si>
  <si>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</si>
  <si>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</si>
  <si>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</si>
  <si>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</si>
  <si>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</si>
  <si>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</si>
  <si>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</si>
  <si>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</si>
  <si>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</si>
  <si>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</si>
  <si>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</si>
  <si>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</si>
  <si>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</si>
  <si>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</si>
  <si>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</si>
  <si>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</si>
  <si>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</si>
  <si>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</si>
  <si>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</si>
  <si>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</si>
  <si>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</si>
  <si>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</si>
  <si>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</si>
  <si>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</si>
  <si>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</si>
  <si>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</si>
  <si>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</si>
  <si>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</si>
  <si>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</si>
  <si>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</si>
  <si>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</si>
  <si>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</si>
  <si>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</si>
  <si>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</si>
  <si>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</si>
  <si>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</si>
  <si>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</si>
  <si>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</si>
  <si>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</si>
  <si>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</si>
  <si>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</si>
  <si>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</si>
  <si>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</si>
  <si>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</si>
  <si>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</si>
  <si>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</si>
  <si>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</si>
  <si>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</si>
  <si>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</si>
  <si>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</si>
  <si>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</si>
  <si>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</si>
  <si>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</si>
  <si>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</si>
  <si>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</si>
  <si>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</si>
  <si>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</si>
  <si>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</si>
  <si>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</si>
  <si>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</si>
  <si>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</si>
  <si>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</si>
  <si>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</si>
  <si>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</si>
  <si>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</si>
  <si>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</si>
  <si>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</si>
  <si>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</si>
  <si>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</si>
  <si>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</si>
  <si>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</si>
  <si>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</si>
  <si>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</si>
  <si>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</si>
  <si>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</si>
  <si>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</si>
  <si>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</si>
  <si>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</si>
  <si>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</si>
  <si>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</si>
  <si>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</si>
  <si>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</si>
  <si>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</si>
  <si>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</si>
  <si>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</si>
  <si>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</si>
  <si>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</si>
  <si>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</si>
  <si>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</si>
  <si>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</si>
  <si>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</si>
  <si>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</si>
  <si>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</si>
  <si>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</si>
  <si>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</si>
  <si>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</si>
  <si>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</si>
  <si>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</si>
  <si>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</si>
  <si>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</si>
  <si>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</si>
  <si>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</si>
  <si>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</si>
  <si>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</si>
  <si>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</si>
  <si>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</si>
  <si>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</si>
  <si>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</si>
  <si>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</si>
  <si>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</si>
  <si>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</si>
  <si>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</si>
  <si>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</si>
  <si>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</si>
  <si>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</si>
  <si>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</si>
  <si>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</si>
  <si>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</si>
  <si>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</si>
  <si>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</si>
  <si>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</si>
  <si>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</si>
  <si>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</si>
  <si>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</si>
  <si>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</si>
  <si>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</si>
  <si>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</si>
  <si>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</si>
  <si>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</si>
  <si>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</si>
  <si>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</si>
  <si>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</si>
  <si>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</si>
  <si>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</si>
  <si>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</si>
  <si>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</si>
  <si>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</si>
  <si>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</si>
  <si>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</si>
  <si>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</si>
  <si>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</si>
  <si>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</si>
  <si>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</si>
  <si>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</si>
  <si>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</si>
  <si>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</si>
  <si>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</si>
  <si>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</si>
  <si>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</si>
  <si>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</si>
  <si>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</si>
  <si>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</si>
  <si>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</si>
  <si>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</si>
  <si>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</si>
  <si>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</si>
  <si>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</si>
  <si>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</si>
  <si>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</si>
  <si>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</si>
  <si>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</si>
  <si>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</si>
  <si>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</si>
  <si>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</si>
  <si>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</si>
  <si>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</si>
  <si>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</si>
  <si>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</si>
  <si>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</si>
  <si>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</si>
  <si>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</si>
  <si>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</si>
  <si>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</si>
  <si>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</si>
  <si>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</si>
  <si>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</si>
  <si>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</si>
  <si>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</si>
  <si>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</si>
  <si>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</si>
  <si>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</si>
  <si>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</si>
  <si>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</si>
  <si>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</si>
  <si>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</si>
  <si>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</si>
  <si>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</si>
  <si>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</si>
  <si>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</si>
  <si>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</si>
  <si>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</si>
  <si>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</si>
  <si>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</si>
  <si>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</si>
  <si>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</si>
  <si>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</si>
  <si>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</si>
  <si>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</si>
  <si>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</si>
  <si>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</si>
  <si>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</si>
  <si>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</si>
  <si>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</si>
  <si>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</si>
  <si>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</si>
  <si>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</si>
  <si>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</si>
  <si>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</si>
  <si>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</si>
  <si>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</si>
  <si>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</si>
  <si>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</si>
  <si>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</si>
  <si>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</si>
  <si>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</si>
  <si>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</si>
  <si>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</si>
  <si>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</si>
  <si>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</si>
  <si>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</si>
  <si>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</si>
  <si>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</si>
  <si>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</si>
  <si>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</si>
  <si>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</si>
  <si>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</si>
  <si>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</si>
  <si>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</si>
  <si>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</si>
  <si>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</si>
  <si>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</si>
  <si>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</si>
  <si>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</si>
  <si>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</si>
  <si>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</si>
  <si>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</si>
  <si>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</si>
  <si>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</si>
  <si>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</si>
  <si>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</si>
  <si>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</si>
  <si>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</si>
  <si>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</si>
  <si>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</si>
  <si>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</si>
  <si>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</si>
  <si>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</si>
  <si>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</si>
  <si>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</si>
  <si>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</si>
  <si>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</si>
  <si>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</si>
  <si>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</si>
  <si>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</si>
  <si>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</si>
  <si>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</si>
  <si>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</si>
  <si>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</si>
  <si>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</si>
  <si>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</si>
  <si>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</si>
  <si>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</si>
  <si>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</si>
  <si>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</si>
  <si>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</si>
  <si>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</si>
  <si>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</si>
  <si>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</si>
  <si>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</si>
  <si>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</si>
  <si>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</si>
  <si>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</si>
  <si>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</si>
  <si>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</si>
  <si>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</si>
  <si>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</si>
  <si>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</si>
  <si>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</si>
  <si>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</si>
  <si>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</si>
  <si>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</si>
  <si>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</si>
  <si>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</si>
  <si>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</si>
  <si>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</si>
  <si>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</si>
  <si>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</si>
  <si>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</si>
  <si>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</si>
  <si>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</si>
  <si>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</si>
  <si>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</si>
  <si>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</si>
  <si>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</si>
  <si>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</si>
  <si>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</si>
  <si>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</si>
  <si>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</si>
  <si>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</si>
  <si>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</si>
  <si>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</si>
  <si>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</si>
  <si>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</si>
  <si>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</si>
  <si>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</si>
  <si>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</si>
  <si>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</si>
  <si>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</si>
  <si>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</si>
  <si>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</si>
  <si>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</si>
  <si>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</si>
  <si>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</si>
  <si>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</si>
  <si>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</si>
  <si>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</si>
  <si>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</si>
  <si>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</si>
  <si>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</si>
  <si>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</si>
  <si>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</si>
  <si>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</si>
  <si>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</si>
  <si>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</si>
  <si>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</si>
  <si>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</si>
  <si>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</si>
  <si>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</si>
  <si>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</si>
  <si>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</si>
  <si>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</si>
  <si>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</si>
  <si>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</si>
  <si>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</si>
  <si>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</si>
  <si>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</si>
  <si>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</si>
  <si>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</si>
  <si>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</si>
  <si>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</si>
  <si>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</si>
  <si>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</si>
  <si>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</si>
  <si>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</si>
  <si>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</si>
  <si>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</si>
  <si>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</si>
  <si>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</si>
  <si>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</si>
  <si>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</si>
  <si>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</si>
  <si>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</si>
  <si>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</si>
  <si>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</si>
  <si>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</si>
  <si>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</si>
  <si>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</si>
  <si>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</si>
  <si>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</si>
  <si>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</si>
  <si>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</si>
  <si>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</si>
  <si>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</si>
  <si>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</si>
  <si>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</si>
  <si>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</si>
  <si>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</si>
  <si>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</si>
  <si>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</si>
  <si>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</si>
  <si>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</si>
  <si>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</si>
  <si>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</si>
  <si>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</si>
  <si>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</si>
  <si>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</si>
  <si>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</si>
  <si>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</si>
  <si>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</si>
  <si>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</si>
  <si>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</si>
  <si>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</si>
  <si>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</si>
  <si>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</si>
  <si>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</si>
  <si>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</si>
  <si>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</si>
  <si>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</si>
  <si>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</si>
  <si>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</si>
  <si>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</si>
  <si>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</si>
  <si>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</si>
  <si>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</si>
  <si>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</si>
  <si>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</si>
  <si>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</si>
  <si>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</si>
  <si>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</si>
  <si>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</si>
  <si>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</si>
  <si>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</si>
  <si>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</si>
  <si>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</si>
  <si>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</si>
  <si>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</si>
  <si>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</si>
  <si>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</si>
  <si>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</si>
  <si>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</si>
  <si>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</si>
  <si>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</si>
  <si>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</si>
  <si>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</si>
  <si>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</si>
  <si>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</si>
  <si>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</si>
  <si>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</si>
  <si>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</si>
  <si>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</si>
  <si>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</si>
  <si>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</si>
  <si>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</si>
  <si>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</si>
  <si>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</si>
  <si>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</si>
  <si>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</si>
  <si>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</si>
  <si>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</si>
  <si>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</si>
  <si>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</si>
  <si>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</si>
  <si>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</si>
  <si>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</si>
  <si>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</si>
  <si>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</si>
  <si>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</si>
  <si>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</si>
  <si>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</si>
  <si>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</si>
  <si>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</si>
  <si>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</si>
  <si>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</si>
  <si>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</si>
  <si>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</si>
  <si>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</si>
  <si>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</si>
  <si>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</si>
  <si>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</si>
  <si>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</si>
  <si>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</si>
  <si>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</si>
  <si>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</si>
  <si>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</si>
  <si>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</si>
  <si>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</si>
  <si>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</si>
  <si>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</si>
  <si>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</si>
  <si>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</si>
  <si>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</si>
  <si>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</si>
  <si>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</si>
  <si>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</si>
  <si>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</si>
  <si>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</si>
  <si>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</si>
  <si>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</si>
  <si>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</si>
  <si>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</si>
  <si>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</si>
  <si>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</si>
  <si>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</si>
  <si>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</si>
  <si>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</si>
  <si>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</si>
  <si>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</si>
  <si>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</si>
  <si>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</si>
  <si>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</si>
  <si>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</si>
  <si>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</si>
  <si>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</si>
  <si>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</si>
  <si>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</si>
  <si>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</si>
  <si>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</si>
  <si>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</si>
  <si>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</si>
  <si>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</si>
  <si>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</si>
  <si>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</si>
  <si>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</si>
  <si>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</si>
  <si>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</si>
  <si>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</si>
  <si>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</si>
  <si>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</si>
  <si>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</si>
  <si>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</si>
  <si>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</si>
  <si>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</si>
  <si>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</si>
  <si>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</si>
  <si>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</si>
  <si>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</si>
  <si>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</si>
  <si>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</si>
  <si>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</si>
  <si>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</si>
  <si>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</si>
  <si>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</si>
  <si>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</si>
  <si>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</si>
  <si>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</si>
  <si>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</si>
  <si>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</si>
  <si>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</si>
  <si>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</si>
  <si>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</si>
  <si>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</si>
  <si>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</si>
  <si>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</si>
  <si>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</si>
  <si>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</si>
  <si>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</si>
  <si>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</si>
  <si>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</si>
  <si>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</si>
  <si>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</si>
  <si>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</si>
  <si>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</si>
  <si>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</si>
  <si>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</si>
  <si>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</si>
  <si>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</si>
  <si>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</si>
  <si>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</si>
  <si>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</si>
  <si>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</si>
  <si>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</si>
  <si>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</si>
  <si>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</si>
  <si>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</si>
  <si>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</si>
  <si>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</si>
  <si>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</si>
  <si>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</si>
  <si>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</si>
  <si>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</si>
  <si>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</si>
  <si>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</si>
  <si>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</si>
  <si>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</si>
  <si>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</si>
  <si>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</si>
  <si>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</si>
  <si>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</si>
  <si>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</si>
  <si>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</si>
  <si>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</si>
  <si>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</si>
  <si>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</si>
  <si>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</si>
  <si>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</si>
  <si>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</si>
  <si>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</si>
  <si>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</si>
  <si>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</si>
  <si>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</si>
  <si>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</si>
  <si>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</si>
  <si>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</si>
  <si>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</si>
  <si>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</si>
  <si>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</si>
  <si>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</si>
  <si>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</si>
  <si>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</si>
  <si>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</si>
  <si>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</si>
  <si>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</si>
  <si>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</si>
  <si>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</si>
  <si>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</si>
  <si>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</si>
  <si>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</si>
  <si>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</si>
  <si>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</si>
  <si>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</si>
  <si>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</si>
  <si>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</si>
  <si>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</si>
  <si>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</si>
  <si>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</si>
  <si>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</si>
  <si>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</si>
  <si>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</si>
  <si>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</si>
  <si>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</si>
  <si>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</si>
  <si>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</si>
  <si>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</si>
  <si>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</si>
  <si>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</si>
  <si>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</si>
  <si>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</si>
  <si>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</si>
  <si>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</si>
  <si>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</si>
  <si>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</si>
  <si>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</si>
  <si>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</si>
  <si>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</si>
  <si>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</si>
  <si>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</si>
  <si>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</si>
  <si>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</si>
  <si>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</si>
  <si>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</si>
  <si>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</si>
  <si>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</si>
  <si>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</si>
  <si>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</si>
  <si>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</si>
  <si>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</si>
  <si>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</si>
  <si>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</si>
  <si>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</si>
  <si>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</si>
  <si>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</si>
  <si>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</si>
  <si>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</si>
  <si>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</si>
  <si>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</si>
  <si>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</si>
  <si>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</si>
  <si>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</si>
  <si>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</si>
  <si>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</si>
  <si>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</si>
  <si>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</si>
  <si>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</si>
  <si>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</si>
  <si>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</si>
  <si>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</si>
  <si>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</si>
  <si>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</si>
  <si>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</si>
  <si>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</si>
  <si>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</si>
  <si>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</si>
  <si>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</si>
  <si>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</si>
  <si>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</si>
  <si>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</si>
  <si>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</si>
  <si>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</si>
  <si>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</si>
  <si>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</si>
  <si>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</si>
  <si>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</si>
  <si>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</si>
  <si>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</si>
  <si>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</si>
  <si>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</si>
  <si>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</si>
  <si>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</si>
  <si>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</si>
  <si>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</si>
  <si>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</si>
  <si>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</si>
  <si>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</si>
  <si>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</si>
  <si>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</si>
  <si>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</si>
  <si>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</si>
  <si>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</si>
  <si>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</si>
  <si>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</si>
  <si>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</si>
  <si>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</si>
  <si>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</si>
  <si>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</si>
  <si>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</si>
  <si>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</si>
  <si>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</si>
  <si>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</si>
  <si>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</si>
  <si>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</si>
  <si>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</si>
  <si>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</si>
  <si>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</si>
  <si>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</si>
  <si>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</si>
  <si>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</si>
  <si>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</si>
  <si>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</si>
  <si>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</si>
  <si>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</si>
  <si>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</si>
  <si>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</si>
  <si>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</si>
  <si>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</si>
  <si>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</si>
  <si>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</si>
  <si>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</si>
  <si>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</si>
  <si>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</si>
  <si>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</si>
  <si>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</si>
  <si>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</si>
  <si>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</si>
  <si>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</si>
  <si>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</si>
  <si>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</si>
  <si>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</si>
  <si>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</si>
  <si>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</si>
  <si>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</si>
  <si>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</si>
  <si>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</si>
  <si>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</si>
  <si>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</si>
  <si>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</si>
  <si>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</si>
  <si>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</si>
  <si>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</si>
  <si>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</si>
  <si>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</si>
  <si>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</si>
  <si>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</si>
  <si>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</si>
  <si>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</si>
  <si>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</si>
  <si>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</si>
  <si>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</si>
  <si>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</si>
  <si>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</si>
  <si>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</si>
  <si>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</si>
  <si>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</si>
  <si>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</si>
  <si>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</si>
  <si>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</si>
  <si>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</si>
  <si>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</si>
  <si>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</si>
  <si>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</si>
  <si>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</si>
  <si>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</si>
  <si>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</si>
  <si>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</si>
  <si>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</si>
  <si>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</si>
  <si>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</si>
  <si>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</si>
  <si>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</si>
  <si>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</si>
  <si>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</si>
  <si>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</si>
  <si>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</si>
  <si>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</si>
  <si>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</si>
  <si>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</si>
  <si>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</si>
  <si>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</si>
  <si>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</si>
  <si>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</si>
  <si>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</si>
  <si>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</si>
  <si>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</si>
  <si>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</si>
  <si>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</si>
  <si>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</si>
  <si>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</si>
  <si>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</si>
  <si>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</si>
  <si>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</si>
  <si>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</si>
  <si>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</si>
  <si>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</si>
  <si>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</si>
  <si>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</si>
  <si>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</si>
  <si>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</si>
  <si>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</si>
  <si>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</si>
  <si>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</si>
  <si>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</si>
  <si>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</si>
  <si>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</si>
  <si>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</si>
  <si>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</si>
  <si>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</si>
  <si>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</si>
  <si>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</si>
  <si>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</si>
  <si>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</si>
  <si>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</si>
  <si>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</si>
  <si>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</si>
  <si>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</si>
  <si>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</si>
  <si>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</si>
  <si>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</si>
  <si>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</si>
  <si>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</si>
  <si>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</si>
  <si>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</si>
  <si>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</si>
  <si>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</si>
  <si>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</si>
  <si>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</si>
  <si>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</si>
  <si>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</si>
  <si>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</si>
  <si>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</si>
  <si>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</si>
  <si>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</si>
  <si>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</si>
  <si>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</si>
  <si>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</si>
  <si>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</si>
  <si>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</si>
  <si>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</si>
  <si>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</si>
  <si>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</si>
  <si>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</si>
  <si>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</si>
  <si>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</si>
  <si>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</si>
  <si>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</si>
  <si>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</si>
  <si>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</si>
  <si>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</si>
  <si>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</si>
  <si>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</si>
  <si>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</si>
  <si>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</si>
  <si>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</si>
  <si>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</si>
  <si>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</si>
  <si>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</si>
  <si>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</si>
  <si>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</si>
  <si>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</si>
  <si>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</si>
  <si>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</si>
  <si>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</si>
  <si>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</si>
  <si>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</si>
  <si>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</si>
  <si>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</si>
  <si>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</si>
  <si>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</si>
  <si>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</si>
  <si>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</si>
  <si>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</si>
  <si>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</si>
  <si>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</si>
  <si>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</si>
  <si>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</si>
  <si>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</si>
  <si>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</si>
  <si>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</si>
  <si>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</si>
  <si>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</si>
  <si>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</si>
  <si>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</si>
  <si>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</si>
  <si>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</si>
  <si>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</si>
  <si>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</si>
  <si>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</si>
  <si>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</si>
  <si>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</si>
  <si>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</si>
  <si>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</si>
  <si>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</si>
  <si>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</si>
  <si>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</si>
  <si>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</si>
  <si>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</si>
  <si>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</si>
  <si>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</si>
  <si>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</si>
  <si>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</si>
  <si>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</si>
  <si>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</si>
  <si>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</si>
  <si>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</si>
  <si>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</si>
  <si>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</si>
  <si>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</si>
  <si>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</si>
  <si>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</si>
  <si>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</si>
  <si>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</si>
  <si>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</si>
  <si>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</si>
  <si>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</si>
  <si>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</si>
  <si>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</si>
  <si>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</si>
  <si>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</si>
  <si>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</si>
  <si>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</si>
  <si>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</si>
  <si>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</si>
  <si>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</si>
  <si>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</si>
  <si>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</si>
  <si>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</si>
  <si>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</si>
  <si>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</si>
  <si>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</si>
  <si>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</si>
  <si>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</si>
  <si>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</si>
  <si>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</si>
  <si>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</si>
  <si>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</si>
  <si>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</si>
  <si>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</si>
  <si>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</si>
  <si>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</si>
  <si>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</si>
  <si>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</si>
  <si>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</si>
  <si>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</si>
  <si>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</si>
  <si>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</si>
  <si>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</si>
  <si>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</si>
  <si>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</si>
  <si>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</si>
  <si>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</si>
  <si>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</si>
  <si>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</si>
  <si>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</si>
  <si>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</si>
  <si>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</si>
  <si>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</si>
  <si>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</si>
  <si>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</si>
  <si>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</si>
  <si>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</si>
  <si>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</si>
  <si>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</si>
  <si>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</si>
  <si>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</si>
  <si>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</si>
  <si>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</si>
  <si>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</si>
  <si>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</si>
  <si>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</si>
  <si>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</si>
  <si>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</si>
  <si>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</si>
  <si>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</si>
  <si>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</si>
  <si>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</si>
  <si>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</si>
  <si>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</si>
  <si>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</si>
  <si>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</si>
  <si>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</si>
  <si>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</si>
  <si>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</si>
  <si>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</si>
  <si>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</si>
  <si>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</si>
  <si>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</si>
  <si>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</si>
  <si>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</si>
  <si>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</si>
  <si>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</si>
  <si>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</si>
  <si>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</si>
  <si>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</si>
  <si>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</si>
  <si>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</si>
  <si>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</si>
  <si>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</si>
  <si>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</si>
  <si>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</si>
  <si>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</si>
  <si>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</si>
  <si>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</si>
  <si>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</si>
  <si>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</si>
  <si>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</si>
  <si>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</si>
  <si>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</si>
  <si>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</si>
  <si>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</si>
  <si>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</si>
  <si>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</si>
  <si>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</si>
  <si>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</si>
  <si>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</si>
  <si>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</si>
  <si>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</si>
  <si>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</si>
  <si>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</si>
  <si>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</si>
  <si>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</si>
  <si>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</si>
  <si>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</si>
  <si>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</si>
  <si>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</si>
  <si>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</si>
  <si>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</si>
  <si>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</si>
  <si>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</si>
  <si>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</si>
  <si>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</si>
  <si>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</si>
  <si>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</si>
  <si>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</si>
  <si>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</si>
  <si>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</si>
  <si>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</si>
  <si>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</si>
  <si>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</si>
  <si>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</si>
  <si>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</si>
  <si>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</si>
  <si>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</si>
  <si>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</si>
  <si>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</si>
  <si>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</si>
  <si>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</si>
  <si>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</si>
  <si>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</si>
  <si>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</si>
  <si>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</si>
  <si>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</si>
  <si>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</si>
  <si>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</si>
  <si>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</si>
  <si>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</si>
  <si>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</si>
  <si>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</si>
  <si>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</si>
  <si>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</si>
  <si>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</si>
  <si>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</si>
  <si>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</si>
  <si>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</si>
  <si>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</si>
  <si>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</si>
  <si>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</si>
  <si>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</si>
  <si>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</si>
  <si>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</si>
  <si>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</si>
  <si>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</si>
  <si>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</si>
  <si>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</si>
  <si>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</si>
  <si>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</si>
  <si>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</si>
  <si>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</si>
  <si>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</si>
  <si>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</si>
  <si>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</si>
  <si>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</si>
  <si>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</si>
  <si>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</si>
  <si>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</si>
  <si>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</si>
  <si>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</si>
  <si>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</si>
  <si>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</si>
  <si>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</si>
  <si>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</si>
  <si>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</si>
  <si>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</si>
  <si>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</si>
  <si>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</si>
  <si>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</si>
  <si>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</si>
  <si>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</si>
  <si>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</si>
  <si>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</si>
  <si>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</si>
  <si>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</si>
  <si>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</si>
  <si>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</si>
  <si>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</si>
  <si>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</si>
  <si>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</si>
  <si>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</si>
  <si>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</si>
  <si>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</si>
  <si>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</si>
  <si>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</si>
  <si>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</si>
  <si>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</si>
  <si>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</si>
  <si>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</si>
  <si>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</si>
  <si>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</si>
  <si>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</si>
  <si>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</si>
  <si>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</si>
  <si>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</si>
  <si>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</si>
  <si>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</si>
  <si>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</si>
  <si>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</si>
  <si>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</si>
  <si>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</si>
  <si>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</si>
  <si>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</si>
  <si>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</si>
  <si>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</si>
  <si>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</si>
  <si>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</si>
  <si>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</si>
  <si>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</si>
  <si>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</si>
  <si>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</si>
  <si>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</si>
  <si>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</si>
  <si>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</si>
  <si>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</si>
  <si>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</si>
  <si>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</si>
  <si>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</si>
  <si>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</si>
  <si>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</si>
  <si>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</si>
  <si>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</si>
  <si>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</si>
  <si>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</si>
  <si>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</si>
  <si>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</si>
  <si>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</si>
  <si>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</si>
  <si>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</si>
  <si>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</si>
  <si>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</si>
  <si>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</si>
  <si>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</si>
  <si>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</si>
  <si>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</si>
  <si>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</si>
  <si>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</si>
  <si>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</si>
  <si>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</si>
  <si>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</si>
  <si>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</si>
  <si>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</si>
  <si>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</si>
  <si>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</si>
  <si>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</si>
  <si>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</si>
  <si>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</si>
  <si>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</si>
  <si>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</si>
  <si>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</si>
  <si>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</si>
  <si>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</si>
  <si>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</si>
  <si>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</si>
  <si>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</si>
  <si>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</si>
  <si>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</si>
  <si>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</si>
  <si>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</si>
  <si>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</si>
  <si>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</si>
  <si>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</si>
  <si>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</si>
  <si>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</si>
  <si>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</si>
  <si>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</si>
  <si>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</si>
  <si>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</si>
  <si>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</si>
  <si>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</si>
  <si>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</si>
  <si>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</si>
  <si>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</si>
  <si>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</si>
  <si>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</si>
  <si>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</si>
  <si>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</si>
  <si>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</si>
  <si>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</si>
  <si>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</si>
  <si>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</si>
  <si>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</si>
  <si>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</si>
  <si>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</si>
  <si>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</si>
  <si>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</si>
  <si>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</si>
  <si>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</si>
  <si>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</si>
  <si>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</si>
  <si>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</si>
  <si>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</si>
  <si>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</si>
  <si>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</si>
  <si>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</si>
  <si>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</si>
  <si>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</si>
  <si>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</si>
  <si>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</si>
  <si>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</si>
  <si>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</si>
  <si>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</si>
  <si>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</si>
  <si>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</si>
  <si>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</si>
  <si>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</si>
  <si>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</si>
  <si>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</si>
  <si>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</si>
  <si>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</si>
  <si>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</si>
  <si>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</si>
  <si>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</si>
  <si>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</si>
  <si>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</si>
  <si>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</si>
  <si>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</si>
  <si>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</si>
  <si>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</si>
  <si>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</si>
  <si>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</si>
  <si>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</si>
  <si>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</si>
  <si>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</si>
  <si>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</si>
  <si>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</si>
  <si>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</si>
  <si>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</si>
  <si>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</si>
  <si>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</si>
  <si>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</si>
  <si>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</si>
  <si>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</si>
  <si>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</si>
  <si>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</si>
  <si>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</si>
  <si>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</si>
  <si>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</si>
  <si>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</si>
  <si>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</si>
  <si>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</si>
  <si>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</si>
  <si>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</si>
  <si>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</si>
  <si>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</si>
  <si>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</si>
  <si>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</si>
  <si>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</si>
  <si>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</si>
  <si>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</si>
  <si>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</si>
  <si>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</si>
  <si>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</si>
  <si>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</si>
  <si>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</si>
  <si>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</si>
  <si>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</si>
  <si>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</si>
  <si>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</si>
  <si>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</si>
  <si>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</si>
  <si>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</si>
  <si>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</si>
  <si>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</si>
  <si>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</si>
  <si>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</si>
  <si>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</si>
  <si>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</si>
  <si>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</si>
  <si>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</si>
  <si>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</si>
  <si>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</si>
  <si>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</si>
  <si>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</si>
  <si>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</si>
  <si>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</si>
  <si>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</si>
  <si>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</si>
  <si>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</si>
  <si>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</si>
  <si>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</si>
  <si>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</si>
  <si>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</si>
  <si>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</si>
  <si>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</si>
  <si>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</si>
  <si>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</si>
  <si>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</si>
  <si>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</si>
  <si>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</si>
  <si>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</si>
  <si>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</si>
  <si>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</si>
  <si>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</si>
  <si>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</si>
  <si>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</si>
  <si>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</si>
  <si>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</si>
  <si>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</si>
  <si>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</si>
  <si>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</si>
  <si>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</si>
  <si>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</si>
  <si>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</si>
  <si>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</si>
  <si>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</si>
  <si>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</si>
  <si>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</si>
  <si>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</si>
  <si>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</si>
  <si>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</si>
  <si>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</si>
  <si>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</si>
  <si>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</si>
  <si>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</si>
  <si>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</si>
  <si>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</si>
  <si>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</si>
  <si>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</si>
  <si>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</si>
  <si>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</si>
  <si>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</si>
  <si>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</si>
  <si>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</si>
  <si>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</si>
  <si>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</si>
  <si>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</si>
  <si>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</si>
  <si>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</si>
  <si>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</si>
  <si>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</si>
  <si>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</si>
  <si>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</si>
  <si>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</si>
  <si>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</si>
  <si>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</si>
  <si>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</si>
  <si>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</si>
  <si>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</si>
  <si>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</si>
  <si>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</si>
  <si>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</si>
  <si>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</si>
  <si>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</si>
  <si>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</si>
  <si>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</si>
  <si>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</si>
  <si>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</si>
  <si>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</si>
  <si>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</si>
  <si>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</si>
  <si>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</si>
  <si>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</si>
  <si>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</si>
  <si>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</si>
  <si>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</si>
  <si>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</si>
  <si>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</si>
  <si>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</si>
  <si>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</si>
  <si>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</si>
  <si>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</si>
  <si>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</si>
  <si>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</si>
  <si>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</si>
  <si>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</si>
  <si>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</si>
  <si>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</si>
  <si>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</si>
  <si>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</si>
  <si>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</si>
  <si>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</si>
  <si>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</si>
  <si>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</si>
  <si>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</si>
  <si>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</si>
  <si>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</si>
  <si>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</si>
  <si>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</si>
  <si>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</si>
  <si>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</si>
  <si>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</si>
  <si>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</si>
  <si>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</si>
  <si>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</si>
  <si>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</si>
  <si>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</si>
  <si>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</si>
  <si>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</si>
  <si>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</si>
  <si>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</si>
  <si>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</si>
  <si>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</si>
  <si>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</si>
  <si>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</si>
  <si>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</si>
  <si>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</si>
  <si>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</si>
  <si>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</si>
  <si>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</si>
  <si>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</si>
  <si>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</si>
  <si>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</si>
  <si>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</si>
  <si>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</si>
  <si>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</si>
  <si>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</si>
  <si>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</si>
  <si>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</si>
  <si>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</si>
  <si>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</si>
  <si>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</si>
  <si>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</si>
  <si>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</si>
  <si>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</si>
  <si>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</si>
  <si>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</si>
  <si>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</si>
  <si>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</si>
  <si>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</si>
  <si>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</si>
  <si>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</si>
  <si>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</si>
  <si>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</si>
  <si>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</si>
  <si>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</si>
  <si>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</si>
  <si>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</si>
  <si>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</si>
  <si>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</si>
  <si>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</si>
  <si>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</si>
  <si>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</si>
  <si>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</si>
  <si>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</si>
  <si>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</si>
  <si>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</si>
  <si>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</si>
  <si>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</si>
  <si>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</si>
  <si>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</si>
  <si>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</si>
  <si>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</si>
  <si>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</si>
  <si>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</si>
  <si>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</si>
  <si>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</si>
  <si>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</si>
  <si>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</si>
  <si>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</si>
  <si>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</si>
  <si>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</si>
  <si>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</si>
  <si>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</si>
  <si>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</si>
  <si>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</si>
  <si>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</si>
  <si>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</si>
  <si>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</si>
  <si>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</si>
  <si>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</si>
  <si>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</si>
  <si>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</si>
  <si>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</si>
  <si>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</si>
  <si>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</si>
  <si>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</si>
  <si>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</si>
  <si>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</si>
  <si>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</si>
  <si>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</si>
  <si>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</si>
  <si>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</si>
  <si>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</si>
  <si>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</si>
  <si>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</si>
  <si>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</si>
  <si>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</si>
  <si>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</si>
  <si>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</si>
  <si>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</si>
  <si>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</si>
  <si>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</si>
  <si>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</si>
  <si>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</si>
  <si>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</si>
  <si>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</si>
  <si>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</si>
  <si>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</si>
  <si>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</si>
  <si>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</si>
  <si>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</si>
  <si>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</si>
  <si>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</si>
  <si>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</si>
  <si>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</si>
  <si>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</si>
  <si>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</si>
  <si>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</si>
  <si>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</si>
  <si>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</si>
  <si>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</si>
  <si>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</si>
  <si>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</si>
  <si>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</si>
  <si>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</si>
  <si>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</si>
  <si>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</si>
  <si>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</si>
  <si>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</si>
  <si>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</si>
  <si>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</si>
  <si>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</si>
  <si>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</si>
  <si>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</si>
  <si>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</si>
  <si>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</si>
  <si>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</si>
  <si>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</si>
  <si>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</si>
  <si>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</si>
  <si>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</si>
  <si>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</si>
  <si>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</si>
  <si>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</si>
  <si>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</si>
  <si>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</si>
  <si>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</si>
  <si>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</si>
  <si>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</si>
  <si>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</si>
  <si>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</si>
  <si>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</si>
  <si>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</si>
  <si>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</si>
  <si>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</si>
  <si>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</si>
  <si>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</si>
  <si>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</si>
  <si>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</si>
  <si>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</si>
  <si>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</si>
  <si>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</si>
  <si>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</si>
  <si>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</si>
  <si>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</si>
  <si>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</si>
  <si>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</si>
  <si>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</si>
  <si>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</si>
  <si>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</si>
  <si>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</si>
  <si>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</si>
  <si>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</si>
  <si>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</si>
  <si>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</si>
  <si>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</si>
  <si>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</si>
  <si>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</si>
  <si>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</si>
  <si>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</si>
  <si>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</si>
  <si>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</si>
  <si>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</si>
  <si>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</si>
  <si>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</si>
  <si>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</si>
  <si>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</si>
  <si>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</si>
  <si>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</si>
  <si>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</si>
  <si>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</si>
  <si>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</si>
  <si>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</si>
  <si>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</si>
  <si>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</si>
  <si>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</si>
  <si>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</si>
  <si>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</si>
  <si>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</si>
  <si>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</si>
  <si>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</si>
  <si>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</si>
  <si>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</si>
  <si>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</si>
  <si>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</si>
  <si>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</si>
  <si>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</si>
  <si>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</si>
  <si>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</si>
  <si>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</si>
  <si>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</si>
  <si>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</si>
  <si>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</si>
  <si>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</si>
  <si>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</si>
  <si>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</si>
  <si>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</si>
  <si>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</si>
  <si>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</si>
  <si>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</si>
  <si>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</si>
  <si>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</si>
  <si>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</si>
  <si>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</si>
  <si>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</si>
  <si>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</si>
  <si>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</si>
  <si>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</si>
  <si>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</si>
  <si>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</si>
  <si>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</si>
  <si>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</si>
  <si>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</si>
  <si>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</si>
  <si>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</si>
  <si>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</si>
  <si>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</si>
  <si>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</si>
  <si>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</si>
  <si>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</si>
  <si>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</si>
  <si>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</si>
  <si>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</si>
  <si>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</si>
  <si>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</si>
  <si>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</si>
  <si>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</si>
  <si>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</si>
  <si>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</si>
  <si>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</si>
  <si>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</si>
  <si>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</si>
  <si>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</si>
  <si>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</si>
  <si>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</si>
  <si>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</si>
  <si>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</si>
  <si>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</si>
  <si>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</si>
  <si>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</si>
  <si>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</si>
  <si>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</si>
  <si>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</si>
  <si>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</si>
  <si>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</si>
  <si>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</si>
  <si>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</si>
  <si>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</si>
  <si>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</si>
  <si>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</si>
  <si>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</si>
  <si>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</si>
  <si>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</si>
  <si>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</si>
  <si>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</si>
  <si>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</si>
  <si>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</si>
  <si>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</si>
  <si>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</si>
  <si>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</si>
  <si>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</si>
  <si>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</si>
  <si>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</si>
  <si>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</si>
  <si>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</si>
  <si>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</si>
  <si>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</si>
  <si>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</si>
  <si>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</si>
  <si>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</si>
  <si>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</si>
  <si>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</si>
  <si>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</si>
  <si>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</si>
  <si>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</si>
  <si>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</si>
  <si>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</si>
  <si>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</si>
  <si>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</si>
  <si>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</si>
  <si>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</si>
  <si>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</si>
  <si>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</si>
  <si>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</si>
  <si>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</si>
  <si>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</si>
  <si>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</si>
  <si>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</si>
  <si>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</si>
  <si>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</si>
  <si>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</si>
  <si>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</si>
  <si>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</si>
  <si>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</si>
  <si>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</si>
  <si>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</si>
  <si>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</si>
  <si>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</si>
  <si>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</si>
  <si>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</si>
  <si>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</si>
  <si>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</si>
  <si>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</si>
  <si>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</si>
  <si>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</si>
  <si>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</si>
  <si>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</si>
  <si>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</si>
  <si>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</si>
  <si>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</si>
  <si>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</si>
  <si>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</si>
  <si>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</si>
  <si>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</si>
  <si>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</si>
  <si>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</si>
  <si>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</si>
  <si>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</si>
  <si>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</si>
  <si>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</si>
  <si>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</si>
  <si>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</si>
  <si>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</si>
  <si>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</si>
  <si>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</si>
  <si>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</si>
  <si>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</si>
  <si>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</si>
  <si>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</si>
  <si>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</si>
  <si>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</si>
  <si>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</si>
  <si>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</si>
  <si>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</si>
  <si>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</si>
  <si>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</si>
  <si>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</si>
  <si>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</si>
  <si>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</si>
  <si>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</si>
  <si>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</si>
  <si>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</si>
  <si>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</si>
  <si>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</si>
  <si>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</si>
  <si>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</si>
  <si>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</si>
  <si>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</si>
  <si>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</si>
  <si>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</si>
  <si>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</si>
  <si>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</si>
  <si>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</si>
  <si>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</si>
  <si>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</si>
  <si>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</si>
  <si>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</si>
  <si>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</si>
  <si>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</si>
  <si>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</si>
  <si>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</si>
  <si>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</si>
  <si>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</si>
  <si>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</si>
  <si>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</si>
  <si>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</si>
  <si>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</si>
  <si>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</si>
  <si>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</si>
  <si>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</si>
  <si>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</si>
  <si>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</si>
  <si>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</si>
  <si>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</si>
  <si>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</si>
  <si>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</si>
  <si>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</si>
  <si>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</si>
  <si>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</si>
  <si>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</si>
  <si>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</si>
  <si>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</si>
  <si>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</si>
  <si>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</si>
  <si>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</si>
  <si>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</si>
  <si>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</si>
  <si>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</si>
  <si>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</si>
  <si>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</si>
  <si>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</si>
  <si>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</si>
  <si>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</si>
  <si>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</si>
  <si>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</si>
  <si>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</si>
  <si>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</si>
  <si>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</si>
  <si>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</si>
  <si>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</si>
  <si>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</si>
  <si>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</si>
  <si>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</si>
  <si>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</si>
  <si>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</si>
  <si>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</si>
  <si>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</si>
  <si>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</si>
  <si>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</si>
  <si>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</si>
  <si>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</si>
  <si>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</si>
  <si>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</si>
  <si>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</si>
  <si>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</si>
  <si>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</si>
  <si>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</si>
  <si>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</si>
  <si>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</si>
  <si>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</si>
  <si>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</si>
  <si>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</si>
  <si>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</si>
  <si>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</si>
  <si>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</si>
  <si>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</si>
  <si>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</si>
  <si>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</si>
  <si>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</si>
  <si>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</si>
  <si>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</si>
  <si>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</si>
  <si>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</si>
  <si>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</si>
  <si>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</si>
  <si>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</si>
  <si>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</si>
  <si>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</si>
  <si>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</si>
  <si>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</si>
  <si>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</si>
  <si>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</si>
  <si>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</si>
  <si>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</si>
  <si>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</si>
  <si>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</si>
  <si>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</si>
  <si>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</si>
  <si>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</si>
  <si>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</si>
  <si>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</si>
  <si>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</si>
  <si>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</si>
  <si>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</si>
  <si>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</si>
  <si>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</si>
  <si>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</si>
  <si>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</si>
  <si>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</si>
  <si>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</si>
  <si>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</si>
  <si>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</si>
  <si>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</si>
  <si>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</si>
  <si>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</si>
  <si>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</si>
  <si>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</si>
  <si>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</si>
  <si>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</si>
  <si>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</si>
  <si>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</si>
  <si>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</si>
  <si>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</si>
  <si>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</si>
  <si>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</si>
  <si>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</si>
  <si>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</si>
  <si>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</si>
  <si>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</si>
  <si>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</si>
  <si>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</si>
  <si>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</si>
  <si>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</si>
  <si>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</si>
  <si>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</si>
  <si>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</si>
  <si>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</si>
  <si>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</si>
  <si>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</si>
  <si>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</si>
  <si>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</si>
  <si>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</si>
  <si>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</si>
  <si>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</si>
  <si>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</si>
  <si>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</si>
  <si>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</si>
  <si>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</si>
  <si>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</si>
  <si>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</si>
  <si>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</si>
  <si>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</si>
  <si>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</si>
  <si>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</si>
  <si>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</si>
  <si>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</si>
  <si>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</si>
  <si>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</si>
  <si>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</si>
  <si>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</si>
  <si>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</si>
  <si>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</si>
  <si>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</si>
  <si>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</si>
  <si>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</si>
  <si>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</si>
  <si>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</si>
  <si>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</si>
  <si>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</si>
  <si>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</si>
  <si>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</si>
  <si>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</si>
  <si>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</si>
  <si>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</si>
  <si>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</si>
  <si>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</si>
  <si>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</si>
  <si>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</si>
  <si>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</si>
  <si>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</si>
  <si>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</si>
  <si>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</si>
  <si>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</si>
  <si>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</si>
  <si>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</si>
  <si>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</si>
  <si>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</si>
  <si>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</si>
  <si>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</si>
  <si>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</si>
  <si>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</si>
  <si>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</si>
  <si>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</si>
  <si>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</si>
  <si>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</si>
  <si>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</si>
  <si>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</si>
  <si>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</si>
  <si>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</si>
  <si>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</si>
  <si>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</si>
  <si>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</si>
  <si>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</si>
  <si>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</si>
  <si>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</si>
  <si>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</si>
  <si>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</si>
  <si>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</si>
  <si>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</si>
  <si>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</si>
  <si>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</si>
  <si>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</si>
  <si>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</si>
  <si>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</si>
  <si>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</si>
  <si>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</si>
  <si>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</si>
  <si>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</si>
  <si>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</si>
  <si>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</si>
  <si>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</si>
  <si>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</si>
  <si>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</si>
  <si>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</si>
  <si>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</si>
  <si>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</si>
  <si>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</si>
  <si>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</si>
  <si>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</si>
  <si>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</si>
  <si>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</si>
  <si>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</si>
  <si>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</si>
  <si>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</si>
  <si>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</si>
  <si>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</si>
  <si>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</si>
  <si>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</si>
  <si>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</si>
  <si>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</si>
  <si>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</si>
  <si>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</si>
  <si>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</si>
  <si>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</si>
  <si>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</si>
  <si>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</si>
  <si>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</si>
  <si>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</si>
  <si>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</si>
  <si>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</si>
  <si>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</si>
  <si>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</si>
  <si>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</si>
  <si>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</si>
  <si>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</si>
  <si>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</si>
  <si>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</si>
  <si>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</si>
  <si>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</si>
  <si>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</si>
  <si>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</si>
  <si>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</si>
  <si>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</si>
  <si>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</si>
  <si>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</si>
  <si>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</si>
  <si>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</si>
  <si>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</si>
  <si>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</si>
  <si>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</si>
  <si>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</si>
  <si>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</si>
  <si>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</si>
  <si>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</si>
  <si>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</si>
  <si>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</si>
  <si>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</si>
  <si>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</si>
  <si>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</si>
  <si>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</si>
  <si>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</si>
  <si>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</si>
  <si>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</si>
  <si>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</si>
  <si>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</si>
  <si>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</si>
  <si>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</si>
  <si>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</si>
  <si>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</si>
  <si>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</si>
  <si>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</si>
  <si>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</si>
  <si>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</si>
  <si>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</si>
  <si>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</si>
  <si>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</si>
  <si>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</si>
  <si>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</si>
  <si>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</si>
  <si>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</si>
  <si>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</si>
  <si>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</si>
  <si>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</si>
  <si>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</si>
  <si>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</si>
  <si>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</si>
  <si>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</si>
  <si>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</si>
  <si>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</si>
  <si>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</si>
  <si>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</si>
  <si>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</si>
  <si>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</si>
  <si>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</si>
  <si>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</si>
  <si>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</si>
  <si>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</si>
  <si>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</si>
  <si>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</si>
  <si>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</si>
  <si>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</si>
  <si>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</si>
  <si>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</si>
  <si>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</si>
  <si>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</si>
  <si>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</si>
  <si>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</si>
  <si>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</si>
  <si>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</si>
  <si>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</si>
  <si>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</si>
  <si>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</si>
  <si>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</si>
  <si>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</si>
  <si>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</si>
  <si>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</si>
  <si>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</si>
  <si>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</si>
  <si>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</si>
  <si>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</si>
  <si>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</si>
  <si>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</si>
  <si>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</si>
  <si>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</si>
  <si>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</si>
  <si>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</si>
  <si>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</si>
  <si>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</si>
  <si>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</si>
  <si>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</si>
  <si>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</si>
  <si>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</si>
  <si>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</si>
  <si>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</si>
  <si>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</si>
  <si>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</si>
  <si>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</si>
  <si>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</si>
  <si>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</si>
  <si>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</si>
  <si>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</si>
  <si>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</si>
  <si>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</si>
  <si>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</si>
  <si>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</si>
  <si>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</si>
  <si>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</si>
  <si>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</si>
  <si>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</si>
  <si>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</si>
  <si>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</si>
  <si>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</si>
  <si>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</si>
  <si>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</si>
  <si>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</si>
  <si>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</si>
  <si>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</si>
  <si>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</si>
  <si>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</si>
  <si>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</si>
  <si>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</si>
  <si>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</si>
  <si>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</si>
  <si>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</si>
  <si>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</si>
  <si>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</si>
  <si>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</si>
  <si>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</si>
  <si>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</si>
  <si>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</si>
  <si>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</si>
  <si>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</si>
  <si>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</si>
  <si>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</si>
  <si>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</si>
  <si>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</si>
  <si>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</si>
  <si>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</si>
  <si>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</si>
  <si>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</si>
  <si>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</si>
  <si>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</si>
  <si>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</si>
  <si>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</si>
  <si>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</si>
  <si>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</si>
  <si>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</si>
  <si>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</si>
  <si>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</si>
  <si>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</si>
  <si>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</si>
  <si>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</si>
  <si>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</si>
  <si>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</si>
  <si>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</si>
  <si>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</si>
  <si>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</si>
  <si>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</si>
  <si>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</si>
  <si>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</si>
  <si>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</si>
  <si>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</si>
  <si>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</si>
  <si>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</si>
  <si>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</si>
  <si>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</si>
  <si>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</si>
  <si>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</si>
  <si>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</si>
  <si>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</si>
  <si>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</si>
  <si>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</si>
  <si>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</si>
  <si>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</si>
  <si>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</si>
  <si>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</si>
  <si>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</si>
  <si>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</si>
  <si>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</si>
  <si>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</si>
  <si>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</si>
  <si>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</si>
  <si>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</si>
  <si>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</si>
  <si>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</si>
  <si>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</si>
  <si>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</si>
  <si>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</si>
  <si>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</si>
  <si>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</si>
  <si>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</si>
  <si>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</si>
  <si>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</si>
  <si>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</si>
  <si>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</si>
  <si>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</si>
  <si>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</si>
  <si>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</si>
  <si>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</si>
  <si>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</si>
  <si>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</si>
  <si>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</si>
  <si>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</si>
  <si>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</si>
  <si>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</si>
  <si>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</si>
  <si>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</si>
  <si>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</si>
  <si>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</si>
  <si>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</si>
  <si>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</si>
  <si>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</si>
  <si>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</si>
  <si>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</si>
  <si>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</si>
  <si>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</si>
  <si>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</si>
  <si>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</si>
  <si>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</si>
  <si>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</si>
  <si>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</si>
  <si>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</si>
  <si>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</si>
  <si>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</si>
  <si>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</si>
  <si>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</si>
  <si>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</si>
  <si>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</si>
  <si>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</si>
  <si>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</si>
  <si>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</si>
  <si>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</si>
  <si>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</si>
  <si>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</si>
  <si>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</si>
  <si>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</si>
  <si>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</si>
  <si>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</si>
  <si>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</si>
  <si>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</si>
  <si>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</si>
  <si>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</si>
  <si>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</si>
  <si>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</si>
  <si>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</si>
  <si>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</si>
  <si>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</si>
  <si>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</si>
  <si>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</si>
  <si>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</si>
  <si>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</si>
  <si>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</si>
  <si>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</si>
  <si>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</si>
  <si>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</si>
  <si>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</si>
  <si>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</si>
  <si>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</si>
  <si>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</si>
  <si>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</si>
  <si>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</si>
  <si>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</si>
  <si>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</si>
  <si>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</si>
  <si>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</si>
  <si>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</si>
  <si>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</si>
  <si>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</si>
  <si>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</si>
  <si>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</si>
  <si>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</si>
  <si>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</si>
  <si>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</si>
  <si>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</si>
  <si>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</si>
  <si>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</si>
  <si>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</si>
  <si>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</si>
  <si>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</si>
  <si>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</si>
  <si>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</si>
  <si>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</si>
  <si>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</si>
  <si>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</si>
  <si>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</si>
  <si>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</si>
  <si>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</si>
  <si>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</si>
  <si>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</si>
  <si>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</si>
  <si>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</si>
  <si>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</si>
  <si>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</si>
  <si>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</si>
  <si>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</si>
  <si>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</si>
  <si>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</si>
  <si>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</si>
  <si>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</si>
  <si>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</si>
  <si>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</si>
  <si>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</si>
  <si>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</si>
  <si>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</si>
  <si>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</si>
  <si>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</si>
  <si>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</si>
  <si>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</si>
  <si>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</si>
  <si>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</si>
  <si>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</si>
  <si>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</si>
  <si>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</si>
  <si>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</si>
  <si>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</si>
  <si>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</si>
  <si>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</si>
  <si>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</si>
  <si>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</si>
  <si>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</si>
  <si>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</si>
  <si>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</si>
  <si>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</si>
  <si>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</si>
  <si>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</si>
  <si>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</si>
  <si>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</si>
  <si>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</si>
  <si>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</si>
  <si>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</si>
  <si>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</si>
  <si>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</si>
  <si>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</si>
  <si>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</si>
  <si>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</si>
  <si>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</si>
  <si>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</si>
  <si>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</si>
  <si>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</si>
  <si>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</si>
  <si>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</si>
  <si>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</si>
  <si>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</si>
  <si>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</si>
  <si>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</si>
  <si>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</si>
  <si>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</si>
  <si>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</si>
  <si>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</si>
  <si>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</si>
  <si>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</si>
  <si>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</si>
  <si>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</si>
  <si>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</si>
  <si>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</si>
  <si>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</si>
  <si>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</si>
  <si>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</si>
  <si>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</si>
  <si>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</si>
  <si>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</si>
  <si>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</si>
  <si>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</si>
  <si>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</si>
  <si>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</si>
  <si>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</si>
  <si>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</si>
  <si>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</si>
  <si>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</si>
  <si>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</si>
  <si>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</si>
  <si>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</si>
  <si>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</si>
  <si>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</si>
  <si>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</si>
  <si>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</si>
  <si>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</si>
  <si>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</si>
  <si>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</si>
  <si>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</si>
  <si>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</si>
  <si>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</si>
  <si>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</si>
  <si>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</si>
  <si>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</si>
  <si>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</si>
  <si>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</si>
  <si>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</si>
  <si>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</si>
  <si>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</si>
  <si>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</si>
  <si>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</si>
  <si>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</si>
  <si>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</si>
  <si>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</si>
  <si>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</si>
  <si>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</si>
  <si>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</si>
  <si>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</si>
  <si>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</si>
  <si>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</si>
  <si>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</si>
  <si>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</si>
  <si>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</si>
  <si>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</si>
  <si>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</si>
  <si>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</si>
  <si>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</si>
  <si>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</si>
  <si>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</si>
  <si>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</si>
  <si>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</si>
  <si>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</si>
  <si>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</si>
  <si>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</si>
  <si>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</si>
  <si>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</si>
  <si>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</si>
  <si>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</si>
  <si>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</si>
  <si>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</si>
  <si>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</si>
  <si>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</si>
  <si>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</si>
  <si>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</si>
  <si>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</si>
  <si>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</si>
  <si>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</si>
  <si>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</si>
  <si>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</si>
  <si>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</si>
  <si>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</si>
  <si>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</si>
  <si>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</si>
  <si>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</si>
  <si>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</si>
  <si>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</si>
  <si>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</si>
  <si>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</si>
  <si>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</si>
  <si>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</si>
  <si>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</si>
  <si>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</si>
  <si>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</si>
  <si>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</si>
  <si>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</si>
  <si>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</si>
  <si>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</si>
  <si>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</si>
  <si>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</si>
  <si>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</si>
  <si>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</si>
  <si>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</si>
  <si>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</si>
  <si>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</si>
  <si>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</si>
  <si>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</si>
  <si>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</si>
  <si>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</si>
  <si>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</si>
  <si>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</si>
  <si>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</si>
  <si>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</si>
  <si>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</si>
  <si>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</si>
  <si>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</si>
  <si>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</si>
  <si>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</si>
  <si>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</si>
  <si>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</si>
  <si>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</si>
  <si>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</si>
  <si>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</si>
  <si>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</si>
  <si>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</si>
  <si>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</si>
  <si>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</si>
  <si>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</si>
  <si>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</si>
  <si>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</si>
  <si>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</si>
  <si>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</si>
  <si>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</si>
  <si>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</si>
  <si>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</si>
  <si>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</si>
  <si>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</si>
  <si>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</si>
  <si>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</si>
  <si>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</si>
  <si>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</si>
  <si>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</si>
  <si>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</si>
  <si>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</si>
  <si>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</si>
  <si>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</si>
  <si>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</si>
  <si>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</si>
  <si>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</si>
  <si>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</si>
  <si>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</si>
  <si>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</si>
  <si>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</si>
  <si>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</si>
  <si>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</si>
  <si>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</si>
  <si>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</si>
  <si>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</si>
  <si>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</si>
  <si>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</si>
  <si>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</si>
  <si>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</si>
  <si>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</si>
  <si>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</si>
  <si>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</si>
  <si>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</si>
  <si>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</si>
  <si>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</si>
  <si>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</si>
  <si>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</si>
  <si>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</si>
  <si>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</si>
  <si>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</si>
  <si>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</si>
  <si>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</si>
  <si>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</si>
  <si>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</si>
  <si>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</si>
  <si>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</si>
  <si>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</si>
  <si>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</si>
  <si>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</si>
  <si>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</si>
  <si>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</si>
  <si>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</si>
  <si>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</si>
  <si>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</si>
  <si>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</si>
  <si>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</si>
  <si>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</si>
  <si>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</si>
  <si>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</si>
  <si>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</si>
  <si>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</si>
  <si>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</si>
  <si>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</si>
  <si>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</si>
  <si>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</si>
  <si>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</si>
  <si>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</si>
  <si>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</si>
  <si>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</si>
  <si>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</si>
  <si>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</si>
  <si>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</si>
  <si>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</si>
  <si>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</si>
  <si>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</si>
  <si>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</si>
  <si>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</si>
  <si>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</si>
  <si>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</si>
  <si>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</si>
  <si>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</si>
  <si>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</si>
  <si>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</si>
  <si>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</si>
  <si>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</si>
  <si>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</si>
  <si>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</si>
  <si>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</si>
  <si>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</si>
  <si>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</si>
  <si>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</si>
  <si>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</si>
  <si>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</si>
  <si>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</si>
  <si>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</si>
  <si>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</si>
  <si>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</si>
  <si>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</si>
  <si>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</si>
  <si>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</si>
  <si>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</si>
  <si>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</si>
  <si>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</si>
  <si>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</si>
  <si>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</si>
  <si>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</si>
  <si>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</si>
  <si>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</si>
  <si>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</si>
  <si>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</si>
  <si>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</si>
  <si>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</si>
  <si>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</si>
  <si>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</si>
  <si>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</si>
  <si>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</si>
  <si>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</si>
  <si>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</si>
  <si>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</si>
  <si>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</si>
  <si>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</si>
  <si>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</si>
  <si>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</si>
  <si>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</si>
  <si>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</si>
  <si>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</si>
  <si>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</si>
  <si>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</si>
  <si>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</si>
  <si>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</si>
  <si>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</si>
  <si>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</si>
  <si>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</si>
  <si>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</si>
  <si>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</si>
  <si>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</si>
  <si>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</si>
  <si>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</si>
  <si>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</si>
  <si>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</si>
  <si>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</si>
  <si>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</si>
  <si>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</si>
  <si>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</si>
  <si>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</si>
  <si>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</si>
  <si>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</si>
  <si>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</si>
  <si>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</si>
  <si>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</si>
  <si>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</si>
  <si>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</si>
  <si>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</si>
  <si>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</si>
  <si>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</si>
  <si>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</si>
  <si>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</si>
  <si>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</si>
  <si>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</si>
  <si>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</si>
  <si>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</si>
  <si>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</si>
  <si>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</si>
  <si>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</si>
  <si>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</si>
  <si>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</si>
  <si>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</si>
  <si>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</si>
  <si>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</si>
  <si>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</si>
  <si>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</si>
  <si>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</si>
  <si>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</si>
  <si>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</si>
  <si>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</si>
  <si>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</si>
  <si>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</si>
  <si>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</si>
  <si>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</si>
  <si>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</si>
  <si>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</si>
  <si>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</si>
  <si>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</si>
  <si>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</si>
  <si>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</si>
  <si>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</si>
  <si>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</si>
  <si>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</si>
  <si>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</si>
  <si>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</si>
  <si>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</si>
  <si>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</si>
  <si>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</si>
  <si>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</si>
  <si>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</si>
  <si>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</si>
  <si>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</si>
  <si>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</si>
  <si>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</si>
  <si>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</si>
  <si>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</si>
  <si>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</si>
  <si>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</si>
  <si>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</si>
  <si>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</si>
  <si>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</si>
  <si>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</si>
  <si>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</si>
  <si>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</si>
  <si>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</si>
  <si>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</si>
  <si>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</si>
  <si>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</si>
  <si>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</si>
  <si>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</si>
  <si>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</si>
  <si>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</si>
  <si>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</si>
  <si>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</si>
  <si>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</si>
  <si>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</si>
  <si>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</si>
  <si>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</si>
  <si>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</si>
  <si>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</si>
  <si>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</si>
  <si>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</si>
  <si>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</si>
  <si>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</si>
  <si>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</si>
  <si>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</si>
  <si>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</si>
  <si>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</si>
  <si>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</si>
  <si>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</si>
  <si>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</si>
  <si>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</si>
  <si>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</si>
  <si>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</si>
  <si>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</si>
  <si>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</si>
  <si>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</si>
  <si>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</si>
  <si>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</si>
  <si>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</si>
  <si>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</si>
  <si>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</si>
  <si>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</si>
  <si>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</si>
  <si>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</si>
  <si>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</si>
  <si>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</si>
  <si>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</si>
  <si>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</si>
  <si>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</si>
  <si>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</si>
  <si>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</si>
  <si>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</si>
  <si>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</si>
  <si>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</si>
  <si>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</si>
  <si>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</si>
  <si>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</si>
  <si>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</si>
  <si>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</si>
  <si>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</si>
  <si>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</si>
  <si>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</si>
  <si>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</si>
  <si>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</si>
  <si>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</si>
  <si>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</si>
  <si>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</si>
  <si>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</si>
  <si>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</si>
  <si>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</si>
  <si>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</si>
  <si>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</si>
  <si>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</si>
  <si>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</si>
  <si>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</si>
  <si>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</si>
  <si>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</si>
  <si>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</si>
  <si>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</si>
  <si>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</si>
  <si>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</si>
  <si>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</si>
  <si>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</si>
  <si>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</si>
  <si>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</si>
  <si>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</si>
  <si>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</si>
  <si>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</si>
  <si>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</si>
  <si>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</si>
  <si>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</si>
  <si>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</si>
  <si>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</si>
  <si>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</si>
  <si>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</si>
  <si>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</si>
  <si>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</si>
  <si>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</si>
  <si>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</si>
  <si>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</si>
  <si>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</si>
  <si>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</si>
  <si>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</si>
  <si>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</si>
  <si>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</si>
  <si>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</si>
  <si>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</si>
  <si>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</si>
  <si>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</si>
  <si>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</si>
  <si>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</si>
  <si>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</si>
  <si>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</si>
  <si>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</si>
  <si>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</si>
  <si>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</si>
  <si>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</si>
  <si>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</si>
  <si>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</si>
  <si>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</si>
  <si>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</si>
  <si>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</si>
  <si>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</si>
  <si>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</si>
  <si>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</si>
  <si>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</si>
  <si>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</si>
  <si>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</si>
  <si>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</si>
  <si>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</si>
  <si>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</si>
  <si>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</si>
  <si>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</si>
  <si>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</si>
  <si>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</si>
  <si>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</si>
  <si>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</si>
  <si>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</si>
  <si>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</si>
  <si>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</si>
  <si>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</si>
  <si>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</si>
  <si>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</si>
  <si>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</si>
  <si>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</si>
  <si>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</si>
  <si>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</si>
  <si>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</si>
  <si>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</si>
  <si>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</si>
  <si>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</si>
  <si>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</si>
  <si>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</si>
  <si>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</si>
  <si>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</si>
  <si>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</si>
  <si>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</si>
  <si>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</si>
  <si>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</si>
  <si>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</si>
  <si>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</si>
  <si>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</si>
  <si>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</si>
  <si>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</si>
  <si>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</si>
  <si>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</si>
  <si>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</si>
  <si>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</si>
  <si>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</si>
  <si>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</si>
  <si>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</si>
  <si>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</si>
  <si>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</si>
  <si>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</si>
  <si>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</si>
  <si>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</si>
  <si>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</si>
  <si>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</si>
  <si>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</si>
  <si>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</si>
  <si>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</si>
  <si>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</si>
  <si>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</si>
  <si>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</si>
  <si>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</si>
  <si>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</si>
  <si>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</si>
  <si>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</si>
  <si>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</si>
  <si>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</si>
  <si>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</si>
  <si>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</si>
  <si>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</si>
  <si>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</si>
  <si>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</si>
  <si>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</si>
  <si>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</si>
  <si>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</si>
  <si>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</si>
  <si>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</si>
  <si>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</si>
  <si>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</si>
  <si>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</si>
  <si>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</si>
  <si>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</si>
  <si>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</si>
  <si>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</si>
  <si>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</si>
  <si>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</si>
  <si>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</si>
  <si>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</si>
  <si>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</si>
  <si>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</si>
  <si>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</si>
  <si>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</si>
  <si>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</si>
  <si>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</si>
  <si>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</si>
  <si>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</si>
  <si>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</si>
  <si>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</si>
  <si>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</si>
  <si>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</si>
  <si>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</si>
  <si>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</si>
  <si>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</si>
  <si>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</si>
  <si>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</si>
  <si>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</si>
  <si>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</si>
  <si>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</si>
  <si>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</si>
  <si>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</si>
  <si>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</si>
  <si>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</si>
  <si>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</si>
  <si>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</si>
  <si>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</si>
  <si>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</si>
  <si>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</si>
  <si>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</si>
  <si>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</si>
  <si>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</si>
  <si>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</si>
  <si>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</si>
  <si>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</si>
  <si>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</si>
  <si>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</si>
  <si>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</si>
  <si>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</si>
  <si>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</si>
  <si>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</si>
  <si>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</si>
  <si>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</si>
  <si>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</si>
  <si>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</si>
  <si>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</si>
  <si>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</si>
  <si>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</si>
  <si>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</si>
  <si>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</si>
  <si>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</si>
  <si>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</si>
  <si>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</si>
  <si>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</si>
  <si>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</si>
  <si>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</si>
  <si>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</si>
  <si>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</si>
  <si>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</si>
  <si>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</si>
  <si>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</si>
  <si>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</si>
  <si>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</si>
  <si>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</si>
  <si>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</si>
  <si>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</si>
  <si>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</si>
  <si>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</si>
  <si>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</si>
  <si>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</si>
  <si>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</si>
  <si>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</si>
  <si>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</si>
  <si>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</si>
  <si>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</si>
  <si>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</si>
  <si>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</si>
  <si>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</si>
  <si>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</si>
  <si>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</si>
  <si>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</si>
  <si>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</si>
  <si>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</si>
  <si>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</si>
  <si>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</si>
  <si>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</si>
  <si>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</si>
  <si>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</si>
  <si>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</si>
  <si>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</si>
  <si>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</si>
  <si>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</si>
  <si>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</si>
  <si>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</si>
  <si>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</si>
  <si>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</si>
  <si>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</si>
  <si>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</si>
  <si>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</si>
  <si>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</si>
  <si>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</si>
  <si>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</si>
  <si>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</si>
  <si>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</si>
  <si>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</si>
  <si>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</si>
  <si>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</si>
  <si>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</si>
  <si>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</si>
  <si>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</si>
  <si>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</si>
  <si>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</si>
  <si>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</si>
  <si>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</si>
  <si>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</si>
  <si>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</si>
  <si>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</si>
  <si>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</si>
  <si>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</si>
  <si>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</si>
  <si>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</si>
  <si>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</si>
  <si>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</si>
  <si>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</si>
  <si>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</si>
  <si>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</si>
  <si>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</si>
  <si>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</si>
  <si>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</si>
  <si>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</si>
  <si>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</si>
  <si>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</si>
  <si>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</si>
  <si>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</si>
  <si>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</si>
  <si>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</si>
  <si>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</si>
  <si>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</si>
  <si>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</si>
  <si>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</si>
  <si>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</si>
  <si>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</si>
  <si>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</si>
  <si>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</si>
  <si>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</si>
  <si>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</si>
  <si>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</si>
  <si>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</si>
  <si>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</si>
  <si>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</si>
  <si>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</si>
  <si>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</si>
  <si>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</si>
  <si>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</si>
  <si>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</si>
  <si>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</si>
  <si>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</si>
  <si>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</si>
  <si>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</si>
  <si>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</si>
  <si>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</si>
  <si>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</si>
  <si>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</si>
  <si>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</si>
  <si>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</si>
  <si>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</si>
  <si>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</si>
  <si>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</si>
  <si>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</si>
  <si>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</si>
  <si>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</si>
  <si>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</si>
  <si>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</si>
  <si>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</si>
  <si>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</si>
  <si>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</si>
  <si>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</si>
  <si>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</si>
  <si>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</si>
  <si>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</si>
  <si>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</si>
  <si>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</si>
  <si>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</si>
  <si>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</si>
  <si>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</si>
  <si>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</si>
  <si>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</si>
  <si>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</si>
  <si>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</si>
  <si>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</si>
  <si>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</si>
  <si>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</si>
  <si>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</si>
  <si>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</si>
  <si>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</si>
  <si>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</si>
  <si>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</si>
  <si>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</si>
  <si>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</si>
  <si>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</si>
  <si>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</si>
  <si>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</si>
  <si>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</si>
  <si>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</si>
  <si>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</si>
  <si>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</si>
  <si>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</si>
  <si>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</si>
  <si>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</si>
  <si>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</si>
  <si>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</si>
  <si>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</si>
  <si>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</si>
  <si>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</si>
  <si>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</si>
  <si>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</si>
  <si>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</si>
  <si>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</si>
  <si>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</si>
  <si>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</si>
  <si>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</si>
  <si>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</si>
  <si>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</si>
  <si>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</si>
  <si>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</si>
  <si>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</si>
  <si>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</si>
  <si>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</si>
  <si>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</si>
  <si>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</si>
  <si>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</si>
  <si>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</si>
  <si>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</si>
  <si>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</si>
  <si>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</si>
  <si>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</si>
  <si>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</si>
  <si>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</si>
  <si>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</si>
  <si>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</si>
  <si>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</si>
  <si>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</si>
  <si>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</si>
  <si>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</si>
  <si>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</si>
  <si>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</si>
  <si>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</si>
  <si>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</si>
  <si>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</si>
  <si>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</si>
  <si>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</si>
  <si>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</si>
  <si>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</si>
  <si>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</si>
  <si>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</si>
  <si>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</si>
  <si>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</si>
  <si>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</si>
  <si>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</si>
  <si>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</si>
  <si>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</si>
  <si>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</si>
  <si>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</si>
  <si>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</si>
  <si>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</si>
  <si>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</si>
  <si>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</si>
  <si>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</si>
  <si>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</si>
  <si>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</si>
  <si>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</si>
  <si>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</si>
  <si>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</si>
  <si>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</si>
  <si>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</si>
  <si>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</si>
  <si>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</si>
  <si>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</si>
  <si>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</si>
  <si>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</si>
  <si>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</si>
  <si>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</si>
  <si>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</si>
  <si>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</si>
  <si>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</si>
  <si>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</si>
  <si>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</si>
  <si>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</si>
  <si>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</si>
  <si>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</si>
  <si>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</si>
  <si>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</si>
  <si>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</si>
  <si>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</si>
  <si>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</si>
  <si>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</si>
  <si>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</si>
  <si>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</si>
  <si>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</si>
  <si>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</si>
  <si>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</si>
  <si>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</si>
  <si>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</si>
  <si>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</si>
  <si>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</si>
  <si>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</si>
  <si>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</si>
  <si>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</si>
  <si>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</si>
  <si>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</si>
  <si>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</si>
  <si>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</si>
  <si>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</si>
  <si>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</si>
  <si>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</si>
  <si>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</si>
  <si>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</si>
  <si>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</si>
  <si>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</si>
  <si>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</si>
  <si>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</si>
  <si>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</si>
  <si>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</si>
  <si>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</si>
  <si>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</si>
  <si>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</si>
  <si>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</si>
  <si>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</si>
  <si>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</si>
  <si>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</si>
  <si>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</si>
  <si>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</si>
  <si>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</si>
  <si>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</si>
  <si>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</si>
  <si>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</si>
  <si>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</si>
  <si>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</si>
  <si>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</si>
  <si>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</si>
  <si>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</si>
  <si>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</si>
  <si>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</si>
  <si>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</si>
  <si>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</si>
  <si>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</si>
  <si>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</si>
  <si>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</si>
  <si>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</si>
  <si>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</si>
  <si>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</si>
  <si>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</si>
  <si>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</si>
  <si>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</si>
  <si>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</si>
  <si>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</si>
  <si>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</si>
  <si>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</si>
  <si>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</si>
  <si>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</si>
  <si>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</si>
  <si>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</si>
  <si>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</si>
  <si>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</si>
  <si>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</si>
  <si>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</si>
  <si>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</si>
  <si>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</si>
  <si>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</si>
  <si>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</si>
  <si>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</si>
  <si>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</si>
  <si>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</si>
  <si>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</si>
  <si>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</si>
  <si>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</si>
  <si>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</si>
  <si>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</si>
  <si>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</si>
  <si>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</si>
  <si>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</si>
  <si>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</si>
  <si>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</si>
  <si>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</si>
  <si>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</si>
  <si>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</si>
  <si>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</si>
  <si>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</si>
  <si>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</si>
  <si>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</si>
  <si>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</si>
  <si>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</si>
  <si>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</si>
  <si>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</si>
  <si>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</si>
  <si>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</si>
  <si>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</si>
  <si>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</si>
  <si>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</si>
  <si>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</si>
  <si>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</si>
  <si>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</si>
  <si>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</si>
  <si>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</si>
  <si>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</si>
  <si>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</si>
  <si>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</si>
  <si>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</si>
  <si>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</si>
  <si>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</si>
  <si>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</si>
  <si>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</si>
  <si>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</si>
  <si>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</si>
  <si>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</si>
  <si>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</si>
  <si>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</si>
  <si>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</si>
  <si>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</si>
  <si>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</si>
  <si>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</si>
  <si>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</si>
  <si>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</si>
  <si>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</si>
  <si>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</si>
  <si>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</si>
  <si>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</si>
  <si>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</si>
  <si>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</si>
  <si>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</si>
  <si>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</si>
  <si>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</si>
  <si>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</si>
  <si>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</si>
  <si>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</si>
  <si>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</si>
  <si>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</si>
  <si>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</si>
  <si>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</si>
  <si>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</si>
  <si>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</si>
  <si>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</si>
  <si>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</si>
  <si>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</si>
  <si>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</si>
  <si>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</si>
  <si>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</si>
  <si>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</si>
  <si>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</si>
  <si>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</si>
  <si>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</si>
  <si>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</si>
  <si>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</si>
  <si>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</si>
  <si>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</si>
  <si>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</si>
  <si>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</si>
  <si>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</si>
  <si>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</si>
  <si>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</si>
  <si>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</si>
  <si>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</si>
  <si>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</si>
  <si>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</si>
  <si>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</si>
  <si>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</si>
  <si>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</si>
  <si>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</si>
  <si>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</si>
  <si>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</si>
  <si>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</si>
  <si>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</si>
  <si>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</si>
  <si>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</si>
  <si>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</si>
  <si>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</si>
  <si>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</si>
  <si>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</si>
  <si>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</si>
  <si>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</si>
  <si>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</si>
  <si>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</si>
  <si>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</si>
  <si>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</si>
  <si>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</si>
  <si>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</si>
  <si>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</si>
  <si>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</si>
  <si>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</si>
  <si>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</si>
  <si>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</si>
  <si>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</si>
  <si>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</si>
  <si>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</si>
  <si>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</si>
  <si>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</si>
  <si>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</si>
  <si>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</si>
  <si>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</si>
  <si>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</si>
  <si>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</si>
  <si>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</si>
  <si>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</si>
  <si>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</si>
  <si>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</si>
  <si>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</si>
  <si>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</si>
  <si>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</si>
  <si>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</si>
  <si>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</si>
  <si>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</si>
  <si>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</si>
  <si>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</si>
  <si>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</si>
  <si>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</si>
  <si>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</si>
  <si>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</si>
  <si>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</si>
  <si>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</si>
  <si>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</si>
  <si>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</si>
  <si>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</si>
  <si>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</si>
  <si>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</si>
  <si>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</si>
  <si>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</si>
  <si>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</si>
  <si>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</si>
  <si>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</si>
  <si>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</si>
  <si>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</si>
  <si>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</si>
  <si>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</si>
  <si>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</si>
  <si>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</si>
  <si>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</si>
  <si>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</si>
  <si>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</si>
  <si>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</si>
  <si>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</si>
  <si>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</si>
  <si>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</si>
  <si>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</si>
  <si>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</si>
  <si>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</si>
  <si>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</si>
  <si>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</si>
  <si>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</si>
  <si>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</si>
  <si>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</si>
  <si>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</si>
  <si>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</si>
  <si>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</si>
  <si>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</si>
  <si>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</si>
  <si>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</si>
  <si>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</si>
  <si>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</si>
  <si>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</si>
  <si>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</si>
  <si>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</si>
  <si>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</si>
  <si>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</si>
  <si>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</si>
  <si>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</si>
  <si>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</si>
  <si>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</si>
  <si>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</si>
  <si>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</si>
  <si>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</si>
  <si>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</si>
  <si>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</si>
  <si>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</si>
  <si>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</si>
  <si>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</si>
  <si>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</si>
  <si>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</si>
  <si>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</si>
  <si>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</si>
  <si>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</si>
  <si>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</si>
  <si>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</si>
  <si>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</si>
  <si>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</si>
  <si>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</si>
  <si>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</si>
  <si>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</si>
  <si>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</si>
  <si>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</si>
  <si>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</si>
  <si>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</si>
  <si>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</si>
  <si>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</si>
  <si>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</si>
  <si>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</si>
  <si>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</si>
  <si>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</si>
  <si>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</si>
  <si>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</si>
  <si>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</si>
  <si>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</si>
  <si>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</si>
  <si>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</si>
  <si>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</si>
  <si>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</si>
  <si>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</si>
  <si>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</si>
  <si>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</si>
  <si>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</si>
  <si>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</si>
  <si>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</si>
  <si>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</si>
  <si>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</si>
  <si>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</si>
  <si>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</si>
  <si>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</si>
  <si>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</si>
  <si>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</si>
  <si>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</si>
  <si>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</si>
  <si>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</si>
  <si>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</si>
  <si>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</si>
  <si>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</si>
  <si>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</si>
  <si>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</si>
  <si>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</si>
  <si>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</si>
  <si>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</si>
  <si>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</si>
  <si>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</si>
  <si>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</si>
  <si>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</si>
  <si>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</si>
  <si>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</si>
  <si>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</si>
  <si>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</si>
  <si>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</si>
  <si>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</si>
  <si>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</si>
  <si>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</si>
  <si>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</si>
  <si>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</si>
  <si>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</si>
  <si>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</si>
  <si>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</si>
  <si>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</si>
  <si>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</si>
  <si>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</si>
  <si>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</si>
  <si>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</si>
  <si>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</si>
  <si>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</si>
  <si>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</si>
  <si>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</si>
  <si>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</si>
  <si>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</si>
  <si>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</si>
  <si>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</si>
  <si>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</si>
  <si>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</si>
  <si>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</si>
  <si>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</si>
  <si>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</si>
  <si>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</si>
  <si>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</si>
  <si>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</si>
  <si>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</si>
  <si>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</si>
  <si>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</si>
  <si>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</si>
  <si>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</si>
  <si>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</si>
  <si>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</si>
  <si>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</si>
  <si>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</si>
  <si>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</si>
  <si>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</si>
  <si>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</si>
  <si>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</si>
  <si>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</si>
  <si>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</si>
  <si>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</si>
  <si>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</si>
  <si>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</si>
  <si>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</si>
  <si>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</si>
  <si>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</si>
  <si>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</si>
  <si>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</si>
  <si>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</si>
  <si>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</si>
  <si>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</si>
  <si>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</si>
  <si>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</si>
  <si>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</si>
  <si>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</si>
  <si>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</si>
  <si>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</si>
  <si>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</si>
  <si>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</si>
  <si>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</si>
  <si>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</si>
  <si>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</si>
  <si>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</si>
  <si>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</si>
  <si>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</si>
  <si>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</si>
  <si>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</si>
  <si>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</si>
  <si>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</si>
  <si>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</si>
  <si>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</si>
  <si>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</si>
  <si>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</si>
  <si>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</si>
  <si>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</si>
  <si>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</si>
  <si>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</si>
  <si>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</si>
  <si>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</si>
  <si>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</si>
  <si>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</si>
  <si>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</si>
  <si>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</si>
  <si>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</si>
  <si>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</si>
  <si>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</si>
  <si>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</si>
  <si>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</si>
  <si>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</si>
  <si>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</si>
  <si>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</si>
  <si>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</si>
  <si>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</si>
  <si>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</si>
  <si>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</si>
  <si>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</si>
  <si>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</si>
  <si>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</si>
  <si>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</si>
  <si>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</si>
  <si>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</si>
  <si>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</si>
  <si>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</si>
  <si>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</si>
  <si>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</si>
  <si>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</si>
  <si>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</si>
  <si>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</si>
  <si>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</si>
  <si>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</si>
  <si>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</si>
  <si>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</si>
  <si>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</si>
  <si>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</si>
  <si>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</si>
  <si>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</si>
  <si>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</si>
  <si>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</si>
  <si>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</si>
  <si>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</si>
  <si>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</si>
  <si>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</si>
  <si>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</si>
  <si>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</si>
  <si>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</si>
  <si>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</si>
  <si>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</si>
  <si>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</si>
  <si>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</si>
  <si>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</si>
  <si>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</si>
  <si>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</si>
  <si>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</si>
  <si>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</si>
  <si>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</si>
  <si>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</si>
  <si>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</si>
  <si>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</si>
  <si>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</si>
  <si>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</si>
  <si>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</si>
  <si>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</si>
  <si>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</si>
  <si>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</si>
  <si>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</si>
  <si>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</si>
  <si>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</si>
  <si>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</si>
  <si>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</si>
  <si>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</si>
  <si>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</si>
  <si>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</si>
  <si>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</si>
  <si>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</si>
  <si>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</si>
  <si>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</si>
  <si>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</si>
  <si>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</si>
  <si>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</si>
  <si>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</si>
  <si>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</si>
  <si>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</si>
  <si>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</si>
  <si>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</si>
  <si>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</si>
  <si>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</si>
  <si>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</si>
  <si>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</si>
  <si>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</si>
  <si>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</si>
  <si>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</si>
  <si>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</si>
  <si>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</si>
  <si>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</si>
  <si>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</si>
  <si>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</si>
  <si>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</si>
  <si>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</si>
  <si>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</si>
  <si>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</si>
  <si>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</si>
  <si>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</si>
  <si>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</si>
  <si>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</si>
  <si>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</si>
  <si>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</si>
  <si>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</si>
  <si>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</si>
  <si>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</si>
  <si>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</si>
  <si>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</si>
  <si>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</si>
  <si>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</si>
  <si>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</si>
  <si>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</si>
  <si>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</si>
  <si>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</si>
  <si>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</si>
  <si>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</si>
  <si>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</si>
  <si>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</si>
  <si>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</si>
  <si>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</si>
  <si>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</si>
  <si>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</si>
  <si>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</si>
  <si>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</si>
  <si>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</si>
  <si>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</si>
  <si>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</si>
  <si>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</si>
  <si>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</si>
  <si>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</si>
  <si>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</si>
  <si>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</si>
  <si>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</si>
  <si>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</si>
  <si>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</si>
  <si>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</si>
  <si>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</si>
  <si>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</si>
  <si>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</si>
  <si>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</si>
  <si>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</si>
  <si>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</si>
  <si>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</si>
  <si>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</si>
  <si>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</si>
  <si>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</si>
  <si>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</si>
  <si>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</si>
  <si>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</si>
  <si>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</si>
  <si>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</si>
  <si>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</si>
  <si>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</si>
  <si>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</si>
  <si>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</si>
  <si>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</si>
  <si>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</si>
  <si>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</si>
  <si>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</si>
  <si>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</si>
  <si>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</si>
  <si>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</si>
  <si>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</si>
  <si>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</si>
  <si>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</si>
  <si>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</si>
  <si>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</si>
  <si>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</si>
  <si>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</si>
  <si>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</si>
  <si>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</si>
  <si>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</si>
  <si>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</si>
  <si>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</si>
  <si>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</si>
  <si>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</si>
  <si>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</si>
  <si>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</si>
  <si>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</si>
  <si>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</si>
  <si>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</si>
  <si>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</si>
  <si>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</si>
  <si>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</si>
  <si>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</si>
  <si>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</si>
  <si>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</si>
  <si>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</si>
  <si>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</si>
  <si>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</si>
  <si>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</si>
  <si>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</si>
  <si>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</si>
  <si>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</si>
  <si>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</si>
  <si>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</si>
  <si>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</si>
  <si>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</si>
  <si>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</si>
  <si>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</si>
  <si>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</si>
  <si>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</si>
  <si>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</si>
  <si>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</si>
  <si>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</si>
  <si>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</si>
  <si>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</si>
  <si>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</si>
  <si>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</si>
  <si>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</si>
  <si>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</si>
  <si>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</si>
  <si>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</si>
  <si>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</si>
  <si>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</si>
  <si>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</si>
  <si>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</si>
  <si>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</si>
  <si>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</si>
  <si>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</si>
  <si>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</si>
  <si>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</si>
  <si>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</si>
  <si>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</si>
  <si>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</si>
  <si>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</si>
  <si>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</si>
  <si>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</si>
  <si>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</si>
  <si>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</si>
  <si>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</si>
  <si>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</si>
  <si>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</si>
  <si>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</si>
  <si>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</si>
  <si>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</si>
  <si>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</si>
  <si>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</si>
  <si>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</si>
  <si>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</si>
  <si>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</si>
  <si>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</si>
  <si>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</si>
  <si>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</si>
  <si>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</si>
  <si>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</si>
  <si>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</si>
  <si>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</si>
  <si>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</si>
  <si>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</si>
  <si>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</si>
  <si>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</si>
  <si>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</si>
  <si>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</si>
  <si>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</si>
  <si>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</si>
  <si>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</si>
  <si>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</si>
  <si>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</si>
  <si>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</si>
  <si>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</si>
  <si>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</si>
  <si>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</si>
  <si>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</si>
  <si>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</si>
  <si>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</si>
  <si>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</si>
  <si>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</si>
  <si>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</si>
  <si>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</si>
  <si>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</si>
  <si>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</si>
  <si>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</si>
  <si>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</si>
  <si>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</si>
  <si>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</si>
  <si>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</si>
  <si>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</si>
  <si>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</si>
  <si>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</si>
  <si>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</si>
  <si>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</si>
  <si>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</si>
  <si>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</si>
  <si>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</si>
  <si>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</si>
  <si>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</si>
  <si>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</si>
  <si>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</si>
  <si>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</si>
  <si>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</si>
  <si>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</si>
  <si>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</si>
  <si>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</si>
  <si>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</si>
  <si>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</si>
  <si>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</si>
  <si>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</si>
  <si>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</si>
  <si>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</si>
  <si>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</si>
  <si>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</si>
  <si>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</si>
  <si>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</si>
  <si>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</si>
  <si>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</si>
  <si>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</si>
  <si>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</si>
  <si>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</si>
  <si>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</si>
  <si>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</si>
  <si>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</si>
  <si>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</si>
  <si>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</si>
  <si>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</si>
  <si>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</si>
  <si>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</si>
  <si>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</si>
  <si>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</si>
  <si>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</si>
  <si>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</si>
  <si>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</si>
  <si>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</si>
  <si>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</si>
  <si>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</si>
  <si>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</si>
  <si>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</si>
  <si>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</si>
  <si>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</si>
  <si>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</si>
  <si>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</si>
  <si>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</si>
  <si>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</si>
  <si>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</si>
  <si>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</si>
  <si>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</si>
  <si>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</si>
  <si>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</si>
  <si>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</si>
  <si>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</si>
  <si>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</si>
  <si>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</si>
  <si>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</si>
  <si>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</si>
  <si>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</si>
  <si>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</si>
  <si>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</si>
  <si>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</si>
  <si>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</si>
  <si>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</si>
  <si>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</si>
  <si>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</si>
  <si>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</si>
  <si>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</si>
  <si>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</si>
  <si>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</si>
  <si>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</si>
  <si>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</si>
  <si>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</si>
  <si>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</si>
  <si>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</si>
  <si>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</si>
  <si>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</si>
  <si>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</si>
  <si>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</si>
  <si>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</si>
  <si>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</si>
  <si>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</si>
  <si>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</si>
  <si>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</si>
  <si>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</si>
  <si>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</si>
  <si>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</si>
  <si>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</si>
  <si>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</si>
  <si>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</si>
  <si>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</si>
  <si>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</si>
  <si>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</si>
  <si>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</si>
  <si>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</si>
  <si>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</si>
  <si>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</si>
  <si>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</si>
  <si>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</si>
  <si>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</si>
  <si>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</si>
  <si>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</si>
  <si>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</si>
  <si>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</si>
  <si>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</si>
  <si>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</si>
  <si>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</si>
  <si>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</si>
  <si>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</si>
  <si>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</si>
  <si>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</si>
  <si>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</si>
  <si>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</si>
  <si>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</si>
  <si>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</si>
  <si>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</si>
  <si>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</si>
  <si>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</si>
  <si>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</si>
  <si>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</si>
  <si>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</si>
  <si>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</si>
  <si>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</si>
  <si>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</si>
  <si>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</si>
  <si>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</si>
  <si>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</si>
  <si>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</si>
  <si>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</si>
  <si>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</si>
  <si>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</si>
  <si>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</si>
  <si>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</si>
  <si>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</si>
  <si>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</si>
  <si>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</si>
  <si>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</si>
  <si>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</si>
  <si>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</si>
  <si>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</si>
  <si>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</si>
  <si>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</si>
  <si>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</si>
  <si>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</si>
  <si>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</si>
  <si>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</si>
  <si>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</si>
  <si>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</si>
  <si>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</si>
  <si>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</si>
  <si>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</si>
  <si>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</si>
  <si>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</si>
  <si>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</si>
  <si>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</si>
  <si>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</si>
  <si>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</si>
  <si>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</si>
  <si>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</si>
  <si>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</si>
  <si>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</si>
  <si>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</si>
  <si>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</si>
  <si>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</si>
  <si>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</si>
  <si>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</si>
  <si>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</si>
  <si>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</si>
  <si>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</si>
  <si>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</si>
  <si>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</si>
  <si>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</si>
  <si>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</si>
  <si>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</si>
  <si>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</si>
  <si>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</si>
  <si>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</si>
  <si>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</si>
  <si>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</si>
  <si>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</si>
  <si>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</si>
  <si>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</si>
  <si>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</si>
  <si>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</si>
  <si>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</si>
  <si>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</si>
  <si>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</si>
  <si>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</si>
  <si>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</si>
  <si>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</si>
  <si>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</si>
  <si>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</si>
  <si>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</si>
  <si>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</si>
  <si>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</si>
  <si>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</si>
  <si>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</si>
  <si>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</si>
  <si>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</si>
  <si>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</si>
  <si>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</si>
  <si>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</si>
  <si>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</si>
  <si>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</si>
  <si>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</si>
  <si>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</si>
  <si>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</si>
  <si>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</si>
  <si>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</si>
  <si>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</si>
  <si>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</si>
  <si>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</si>
  <si>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</si>
  <si>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</si>
  <si>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</si>
  <si>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</si>
  <si>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</si>
  <si>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</si>
  <si>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</si>
  <si>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</si>
  <si>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</si>
  <si>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</si>
  <si>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</si>
  <si>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</si>
  <si>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</si>
  <si>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</si>
  <si>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</si>
  <si>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</si>
  <si>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</si>
  <si>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</si>
  <si>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</si>
  <si>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</si>
  <si>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</si>
  <si>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</si>
  <si>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</si>
  <si>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</si>
  <si>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</si>
  <si>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</si>
  <si>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</si>
  <si>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</si>
  <si>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</si>
  <si>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</si>
  <si>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</si>
  <si>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</si>
  <si>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</si>
  <si>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</si>
  <si>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</si>
  <si>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</si>
  <si>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</si>
  <si>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</si>
  <si>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</si>
  <si>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</si>
  <si>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</si>
  <si>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</si>
  <si>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</si>
  <si>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</si>
  <si>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</si>
  <si>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</si>
  <si>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</si>
  <si>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</si>
  <si>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</si>
  <si>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</si>
  <si>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</si>
  <si>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</si>
  <si>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</si>
  <si>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</si>
  <si>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</si>
  <si>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</si>
  <si>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</si>
  <si>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</si>
  <si>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</si>
  <si>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</si>
  <si>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</si>
  <si>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</si>
  <si>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</si>
  <si>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</si>
  <si>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</si>
  <si>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</si>
  <si>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</si>
  <si>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</si>
  <si>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</si>
  <si>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</si>
  <si>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</si>
  <si>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</si>
  <si>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</si>
  <si>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</si>
  <si>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</si>
  <si>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</si>
  <si>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</si>
  <si>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</si>
  <si>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</si>
  <si>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</si>
  <si>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</si>
  <si>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</si>
  <si>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</si>
  <si>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</si>
  <si>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</si>
  <si>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</si>
  <si>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</si>
  <si>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</si>
  <si>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</si>
  <si>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</si>
  <si>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</si>
  <si>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</si>
  <si>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</si>
  <si>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</si>
  <si>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</si>
  <si>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</si>
  <si>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</si>
  <si>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</si>
  <si>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</si>
  <si>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</si>
  <si>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</si>
  <si>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</si>
  <si>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</si>
  <si>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</si>
  <si>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</si>
  <si>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</si>
  <si>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</si>
  <si>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</si>
  <si>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</si>
  <si>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</si>
  <si>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</si>
  <si>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</si>
  <si>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</si>
  <si>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</si>
  <si>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</si>
  <si>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</si>
  <si>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</si>
  <si>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</si>
  <si>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</si>
  <si>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</si>
  <si>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</si>
  <si>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</si>
  <si>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</si>
  <si>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</si>
  <si>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</si>
  <si>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</si>
  <si>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</si>
  <si>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</si>
  <si>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</si>
  <si>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</si>
  <si>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</si>
  <si>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</si>
  <si>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</si>
  <si>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</si>
  <si>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</si>
  <si>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</si>
  <si>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</si>
  <si>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</si>
  <si>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</si>
  <si>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</si>
  <si>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</si>
  <si>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</si>
  <si>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</si>
  <si>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</si>
  <si>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</si>
  <si>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</si>
  <si>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</si>
  <si>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</si>
  <si>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</si>
  <si>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</si>
  <si>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</si>
  <si>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</si>
  <si>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</si>
  <si>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</si>
  <si>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</si>
  <si>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</si>
  <si>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</si>
  <si>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</si>
  <si>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</si>
  <si>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</si>
  <si>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</si>
  <si>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</si>
  <si>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</si>
  <si>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</si>
  <si>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</si>
  <si>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</si>
  <si>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</si>
  <si>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</si>
  <si>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</si>
  <si>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</si>
  <si>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</si>
  <si>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</si>
  <si>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</si>
  <si>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</si>
  <si>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</si>
  <si>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</si>
  <si>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</si>
  <si>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</si>
  <si>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</si>
  <si>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</si>
  <si>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</si>
  <si>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</si>
  <si>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</si>
  <si>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</si>
  <si>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</si>
  <si>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</si>
  <si>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</si>
  <si>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</si>
  <si>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</si>
  <si>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</si>
  <si>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</si>
  <si>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</si>
  <si>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</si>
  <si>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</si>
  <si>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</si>
  <si>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</si>
  <si>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</si>
  <si>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</si>
  <si>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</si>
  <si>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</si>
  <si>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</si>
  <si>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</si>
  <si>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</si>
  <si>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</si>
  <si>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</si>
  <si>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</si>
  <si>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</si>
  <si>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</si>
  <si>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</si>
  <si>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</si>
  <si>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</si>
  <si>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</si>
  <si>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</si>
  <si>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</si>
  <si>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</si>
  <si>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</si>
  <si>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</si>
  <si>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</si>
  <si>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</si>
  <si>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</si>
  <si>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</si>
  <si>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</si>
  <si>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</si>
  <si>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</si>
  <si>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</si>
  <si>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</si>
  <si>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</si>
  <si>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</si>
  <si>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</si>
  <si>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</si>
  <si>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</si>
  <si>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</si>
  <si>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</si>
  <si>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</si>
  <si>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</si>
  <si>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</si>
  <si>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</si>
  <si>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</si>
  <si>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</si>
  <si>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</si>
  <si>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</si>
  <si>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</si>
  <si>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</si>
  <si>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</si>
  <si>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</si>
  <si>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</si>
  <si>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</si>
  <si>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</si>
  <si>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</si>
  <si>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</si>
  <si>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</si>
  <si>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</si>
  <si>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</si>
  <si>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</si>
  <si>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</si>
  <si>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</si>
  <si>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</si>
  <si>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</si>
  <si>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</si>
  <si>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</si>
  <si>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</si>
  <si>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</si>
  <si>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</si>
  <si>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</si>
  <si>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</si>
  <si>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</si>
  <si>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</si>
  <si>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</si>
  <si>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</si>
  <si>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</si>
  <si>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</si>
  <si>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</si>
  <si>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</si>
  <si>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</si>
  <si>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</si>
  <si>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</si>
  <si>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</si>
  <si>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</si>
  <si>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</si>
  <si>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</si>
  <si>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</si>
  <si>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</si>
  <si>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</si>
  <si>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</si>
  <si>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</si>
  <si>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</si>
  <si>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</si>
  <si>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</si>
  <si>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</si>
  <si>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</si>
  <si>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</si>
  <si>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</si>
  <si>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</si>
  <si>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</si>
  <si>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</si>
  <si>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</si>
  <si>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</si>
  <si>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</si>
  <si>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</si>
  <si>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</si>
  <si>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</si>
  <si>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</si>
  <si>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</si>
  <si>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</si>
  <si>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</si>
  <si>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</si>
  <si>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</si>
  <si>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</si>
  <si>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</si>
  <si>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</si>
  <si>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</si>
  <si>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</si>
  <si>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</si>
  <si>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</si>
  <si>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</si>
  <si>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</si>
  <si>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</si>
  <si>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</si>
  <si>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</si>
  <si>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</si>
  <si>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</si>
  <si>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</si>
  <si>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</si>
  <si>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</si>
  <si>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</si>
  <si>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</si>
  <si>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</si>
  <si>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</si>
  <si>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</si>
  <si>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</si>
  <si>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</si>
  <si>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</si>
  <si>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</si>
  <si>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</si>
  <si>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</si>
  <si>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</si>
  <si>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</si>
  <si>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</si>
  <si>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</si>
  <si>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</si>
  <si>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</si>
  <si>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</si>
  <si>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</si>
  <si>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</si>
  <si>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</si>
  <si>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</si>
  <si>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</si>
  <si>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</si>
  <si>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</si>
  <si>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</si>
  <si>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</si>
  <si>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</si>
  <si>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</si>
  <si>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</si>
  <si>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</si>
  <si>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</si>
  <si>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</si>
  <si>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</si>
  <si>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</si>
  <si>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</si>
  <si>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</si>
  <si>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</si>
  <si>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</si>
  <si>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</si>
  <si>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</si>
  <si>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</si>
  <si>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</si>
  <si>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</si>
  <si>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</si>
  <si>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</si>
  <si>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</si>
  <si>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</si>
  <si>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</si>
  <si>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</si>
  <si>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</si>
  <si>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</si>
  <si>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</si>
  <si>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</si>
  <si>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</si>
  <si>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</si>
  <si>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</si>
  <si>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</si>
  <si>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</si>
  <si>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</si>
  <si>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</si>
  <si>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</si>
  <si>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</si>
  <si>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</si>
  <si>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</si>
  <si>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</si>
  <si>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</si>
  <si>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</si>
  <si>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</si>
  <si>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</si>
  <si>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</si>
  <si>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</si>
  <si>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</si>
  <si>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</si>
  <si>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</si>
  <si>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</si>
  <si>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</si>
  <si>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</si>
  <si>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</si>
  <si>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</si>
  <si>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</si>
  <si>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</si>
  <si>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</si>
  <si>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</si>
  <si>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</si>
  <si>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</si>
  <si>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</si>
  <si>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</si>
  <si>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</si>
  <si>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</si>
  <si>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</si>
  <si>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</si>
  <si>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</si>
  <si>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</si>
  <si>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</si>
  <si>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</si>
  <si>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</si>
  <si>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</si>
  <si>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</si>
  <si>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</si>
  <si>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</si>
  <si>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</si>
  <si>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</si>
  <si>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</si>
  <si>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</si>
  <si>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</si>
  <si>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</si>
  <si>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</si>
  <si>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</si>
  <si>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</si>
  <si>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</si>
  <si>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</si>
  <si>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</si>
  <si>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</si>
  <si>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</si>
  <si>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</si>
  <si>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</si>
  <si>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</si>
  <si>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</si>
  <si>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</si>
  <si>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</si>
  <si>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</si>
  <si>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</si>
  <si>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</si>
  <si>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</si>
  <si>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</si>
  <si>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</si>
  <si>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</si>
  <si>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</si>
  <si>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</si>
  <si>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</si>
  <si>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</si>
  <si>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</si>
  <si>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</si>
  <si>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</si>
  <si>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</si>
  <si>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</si>
  <si>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</si>
  <si>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</si>
  <si>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</si>
  <si>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</si>
  <si>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</si>
  <si>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</si>
  <si>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</si>
  <si>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</si>
  <si>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</si>
  <si>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</si>
  <si>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</si>
  <si>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</si>
  <si>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</si>
  <si>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</si>
  <si>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</si>
  <si>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</si>
  <si>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</si>
  <si>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</si>
  <si>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</si>
  <si>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</si>
  <si>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</si>
  <si>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</si>
  <si>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</si>
  <si>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</si>
  <si>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</si>
  <si>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</si>
  <si>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</si>
  <si>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</si>
  <si>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</si>
  <si>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</si>
  <si>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</si>
  <si>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</si>
  <si>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</si>
  <si>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</si>
  <si>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</si>
  <si>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</si>
  <si>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</si>
  <si>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</si>
  <si>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</si>
  <si>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</si>
  <si>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</si>
  <si>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</si>
  <si>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</si>
  <si>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</si>
  <si>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</si>
  <si>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</si>
  <si>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</si>
  <si>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</si>
  <si>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</si>
  <si>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</si>
  <si>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</si>
  <si>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</si>
  <si>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</si>
  <si>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</si>
  <si>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</si>
  <si>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</si>
  <si>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</si>
  <si>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</si>
  <si>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</si>
  <si>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</si>
  <si>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</si>
  <si>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</si>
  <si>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</si>
  <si>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</si>
  <si>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</si>
  <si>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</si>
  <si>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</si>
  <si>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</si>
  <si>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</si>
  <si>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</si>
  <si>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</si>
  <si>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</si>
  <si>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</si>
  <si>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</si>
  <si>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</si>
  <si>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</si>
  <si>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</si>
  <si>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</si>
  <si>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</si>
  <si>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</si>
  <si>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</si>
  <si>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</si>
  <si>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</si>
  <si>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</si>
  <si>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</si>
  <si>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</si>
  <si>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</si>
  <si>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</si>
  <si>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</si>
  <si>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</si>
  <si>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</si>
  <si>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</si>
  <si>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</si>
  <si>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</si>
  <si>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</si>
  <si>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</si>
  <si>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</si>
  <si>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</si>
  <si>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</si>
  <si>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</si>
  <si>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</si>
  <si>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</si>
  <si>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</si>
  <si>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</si>
  <si>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</si>
  <si>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</si>
  <si>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</si>
  <si>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</si>
  <si>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</si>
  <si>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</si>
  <si>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</si>
  <si>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</si>
  <si>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</si>
  <si>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</si>
  <si>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</si>
  <si>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</si>
  <si>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</si>
  <si>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</si>
  <si>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</si>
  <si>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</si>
  <si>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</si>
  <si>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</si>
  <si>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</si>
  <si>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</si>
  <si>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</si>
  <si>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</si>
  <si>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</si>
  <si>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</si>
  <si>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</si>
  <si>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</si>
  <si>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</si>
  <si>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</si>
  <si>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</si>
  <si>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</si>
  <si>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</si>
  <si>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</si>
  <si>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</si>
  <si>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</si>
  <si>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</si>
  <si>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</si>
  <si>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</si>
  <si>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</si>
  <si>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</si>
  <si>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</si>
  <si>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</si>
  <si>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</si>
  <si>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</si>
  <si>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</si>
  <si>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</si>
  <si>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</si>
  <si>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</si>
  <si>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</si>
  <si>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</si>
  <si>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</si>
  <si>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</si>
  <si>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</si>
  <si>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</si>
  <si>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</si>
  <si>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</si>
  <si>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</si>
  <si>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</si>
  <si>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</si>
  <si>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</si>
  <si>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</si>
  <si>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</si>
  <si>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</si>
  <si>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</si>
  <si>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</si>
  <si>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</si>
  <si>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</si>
  <si>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</si>
  <si>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</si>
  <si>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</si>
  <si>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</si>
  <si>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</si>
  <si>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</si>
  <si>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</si>
  <si>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</si>
  <si>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</si>
  <si>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</si>
  <si>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</si>
  <si>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</si>
  <si>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</si>
  <si>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</si>
  <si>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</si>
  <si>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</si>
  <si>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</si>
  <si>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</si>
  <si>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</si>
  <si>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</si>
  <si>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</si>
  <si>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</si>
  <si>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</si>
  <si>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</si>
  <si>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</si>
  <si>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</si>
  <si>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</si>
  <si>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</si>
  <si>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</si>
  <si>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</si>
  <si>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</si>
  <si>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</si>
  <si>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</si>
  <si>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</si>
  <si>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</si>
  <si>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</si>
  <si>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</si>
  <si>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</si>
  <si>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</si>
  <si>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</si>
  <si>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</si>
  <si>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</si>
  <si>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</si>
  <si>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</si>
  <si>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</si>
  <si>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</si>
  <si>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</si>
  <si>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</si>
  <si>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</si>
  <si>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</si>
  <si>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</si>
  <si>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</si>
  <si>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</si>
  <si>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</si>
  <si>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</si>
  <si>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</si>
  <si>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</si>
  <si>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</si>
  <si>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</si>
  <si>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</si>
  <si>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</si>
  <si>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</si>
  <si>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</si>
  <si>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</si>
  <si>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</si>
  <si>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</si>
  <si>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</si>
  <si>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</si>
  <si>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</si>
  <si>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</si>
  <si>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</si>
  <si>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</si>
  <si>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</si>
  <si>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</si>
  <si>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</si>
  <si>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</si>
  <si>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</si>
  <si>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</si>
  <si>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</si>
  <si>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</si>
  <si>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</si>
  <si>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</si>
  <si>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</si>
  <si>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</si>
  <si>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</si>
  <si>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</si>
  <si>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</si>
  <si>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</si>
  <si>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</si>
  <si>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</si>
  <si>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</si>
  <si>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</si>
  <si>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</si>
  <si>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</si>
  <si>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</si>
  <si>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</si>
  <si>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</si>
  <si>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</si>
  <si>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</si>
  <si>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</si>
  <si>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</si>
  <si>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</si>
  <si>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</si>
  <si>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</si>
  <si>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</si>
  <si>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</si>
  <si>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</si>
  <si>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</si>
  <si>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</si>
  <si>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</si>
  <si>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</si>
  <si>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</si>
  <si>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</si>
  <si>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</si>
  <si>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</si>
  <si>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</si>
  <si>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</si>
  <si>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</si>
  <si>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</si>
  <si>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</si>
  <si>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</si>
  <si>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</si>
  <si>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</si>
  <si>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</si>
  <si>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</si>
  <si>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</si>
  <si>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</si>
  <si>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</si>
  <si>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</si>
  <si>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</si>
  <si>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</si>
  <si>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</si>
  <si>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</si>
  <si>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</si>
  <si>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</si>
  <si>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</si>
  <si>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</si>
  <si>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</si>
  <si>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</si>
  <si>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</si>
  <si>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</si>
  <si>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</si>
  <si>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</si>
  <si>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</si>
  <si>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</si>
  <si>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</si>
  <si>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</si>
  <si>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</si>
  <si>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</si>
  <si>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</si>
  <si>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</si>
  <si>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</si>
  <si>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</si>
  <si>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</si>
  <si>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</si>
  <si>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</si>
  <si>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</si>
  <si>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</si>
  <si>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</si>
  <si>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</si>
  <si>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</si>
  <si>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</si>
  <si>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</si>
  <si>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</si>
  <si>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</si>
  <si>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</si>
  <si>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</si>
  <si>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</si>
  <si>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</si>
  <si>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</si>
  <si>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</si>
  <si>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</si>
  <si>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</si>
  <si>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</si>
  <si>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</si>
  <si>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</si>
  <si>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</si>
  <si>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</si>
  <si>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</si>
  <si>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</si>
  <si>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</si>
  <si>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</si>
  <si>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</si>
  <si>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</si>
  <si>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</si>
  <si>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</si>
  <si>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</si>
  <si>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</si>
  <si>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</si>
  <si>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</si>
  <si>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</si>
  <si>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</si>
  <si>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</si>
  <si>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</si>
  <si>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</si>
  <si>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</si>
  <si>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</si>
  <si>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</si>
  <si>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</si>
  <si>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</si>
  <si>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</si>
  <si>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</si>
  <si>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</si>
  <si>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</si>
  <si>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</si>
  <si>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</si>
  <si>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</si>
  <si>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</si>
  <si>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</si>
  <si>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</si>
  <si>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</si>
  <si>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</si>
  <si>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</si>
  <si>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</si>
  <si>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</si>
  <si>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</si>
  <si>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</si>
  <si>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</si>
  <si>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</si>
  <si>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</si>
  <si>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</si>
  <si>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</si>
  <si>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</si>
  <si>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</si>
  <si>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</si>
  <si>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</si>
  <si>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</si>
  <si>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</si>
  <si>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</si>
  <si>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</si>
  <si>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</si>
  <si>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</si>
  <si>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</si>
  <si>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</si>
  <si>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</si>
  <si>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</si>
  <si>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</si>
  <si>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</si>
  <si>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</si>
  <si>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</si>
  <si>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</si>
  <si>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</si>
  <si>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</si>
  <si>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</si>
  <si>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</si>
  <si>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</si>
  <si>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</si>
  <si>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</si>
  <si>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</si>
  <si>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</si>
  <si>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</si>
  <si>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</si>
  <si>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</si>
  <si>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</si>
  <si>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</si>
  <si>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</si>
  <si>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</si>
  <si>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</si>
  <si>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</si>
  <si>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</si>
  <si>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</si>
  <si>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</si>
  <si>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</si>
  <si>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</si>
  <si>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</si>
  <si>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</si>
  <si>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</si>
  <si>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</si>
  <si>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</si>
  <si>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</si>
  <si>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</si>
  <si>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</si>
  <si>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</si>
  <si>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</si>
  <si>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</si>
  <si>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</si>
  <si>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</si>
  <si>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</si>
  <si>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</si>
  <si>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</si>
  <si>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</si>
  <si>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</si>
  <si>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</si>
  <si>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</si>
  <si>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</si>
  <si>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</si>
  <si>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</si>
  <si>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</si>
  <si>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</si>
  <si>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</si>
  <si>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</si>
  <si>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</si>
  <si>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</si>
  <si>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</si>
  <si>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</si>
  <si>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</si>
  <si>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</si>
  <si>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</si>
  <si>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</si>
  <si>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</si>
  <si>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</si>
  <si>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</si>
  <si>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</si>
  <si>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</si>
  <si>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</si>
  <si>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</si>
  <si>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</si>
  <si>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</si>
  <si>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</si>
  <si>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</si>
  <si>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</si>
  <si>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</si>
  <si>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</si>
  <si>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</si>
  <si>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</si>
  <si>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</si>
  <si>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</si>
  <si>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</si>
  <si>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</si>
  <si>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</si>
  <si>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</si>
  <si>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</si>
  <si>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</si>
  <si>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</si>
  <si>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</si>
  <si>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</si>
  <si>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</si>
  <si>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</si>
  <si>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</si>
  <si>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</si>
  <si>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</si>
  <si>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</si>
  <si>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</si>
  <si>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</si>
  <si>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</si>
  <si>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</si>
  <si>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</si>
  <si>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</si>
  <si>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</si>
  <si>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</si>
  <si>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</si>
  <si>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</si>
  <si>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</si>
  <si>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</si>
  <si>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</si>
  <si>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</si>
  <si>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</si>
  <si>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</si>
  <si>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</si>
  <si>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</si>
  <si>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</si>
  <si>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</si>
  <si>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</si>
  <si>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</si>
  <si>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</si>
  <si>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</si>
  <si>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</si>
  <si>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</si>
  <si>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</si>
  <si>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</si>
  <si>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</si>
  <si>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</si>
  <si>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</si>
  <si>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</si>
  <si>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</si>
  <si>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</si>
  <si>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</si>
  <si>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</si>
  <si>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</si>
  <si>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</si>
  <si>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</si>
  <si>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</si>
  <si>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</si>
  <si>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</si>
  <si>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</si>
  <si>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</si>
  <si>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</si>
  <si>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</si>
  <si>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</si>
  <si>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</si>
  <si>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</si>
  <si>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</si>
  <si>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</si>
  <si>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</si>
  <si>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</si>
  <si>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</si>
  <si>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</si>
  <si>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</si>
  <si>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</si>
  <si>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</si>
  <si>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</si>
  <si>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</si>
  <si>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</si>
  <si>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</si>
  <si>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</si>
  <si>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</si>
  <si>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</si>
  <si>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</si>
  <si>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</si>
  <si>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</si>
  <si>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</si>
  <si>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</si>
  <si>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</si>
  <si>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</si>
  <si>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</si>
  <si>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</si>
  <si>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</si>
  <si>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</si>
  <si>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</si>
  <si>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</si>
  <si>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</si>
  <si>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</si>
  <si>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</si>
  <si>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</si>
  <si>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</si>
  <si>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</si>
  <si>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</si>
  <si>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</si>
  <si>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</si>
  <si>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</si>
  <si>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</si>
  <si>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</si>
  <si>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</si>
  <si>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</si>
  <si>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</si>
  <si>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</si>
  <si>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</si>
  <si>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</si>
  <si>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</si>
  <si>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</si>
  <si>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</si>
  <si>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</si>
  <si>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</si>
  <si>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</si>
  <si>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</si>
  <si>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</si>
  <si>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</si>
  <si>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</si>
  <si>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</si>
  <si>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</si>
  <si>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</si>
  <si>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</si>
  <si>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</si>
  <si>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</si>
  <si>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</si>
  <si>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</si>
  <si>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</si>
  <si>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</si>
  <si>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</si>
  <si>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</si>
  <si>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</si>
  <si>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</si>
  <si>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</si>
  <si>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</si>
  <si>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</si>
  <si>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</si>
  <si>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</si>
  <si>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</si>
  <si>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</si>
  <si>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</si>
  <si>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</si>
  <si>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</si>
  <si>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</si>
  <si>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</si>
  <si>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</si>
  <si>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</si>
  <si>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</si>
  <si>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</si>
  <si>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</si>
  <si>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</si>
  <si>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</si>
  <si>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</si>
  <si>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</si>
  <si>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</si>
  <si>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</si>
  <si>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</si>
  <si>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</si>
  <si>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</si>
  <si>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</si>
  <si>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</si>
  <si>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</si>
  <si>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</si>
  <si>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</si>
  <si>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</si>
  <si>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</si>
  <si>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</si>
  <si>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</si>
  <si>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</si>
  <si>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</si>
  <si>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</si>
  <si>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</si>
  <si>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</si>
  <si>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</si>
  <si>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</si>
  <si>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</si>
  <si>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</si>
  <si>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</si>
  <si>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</si>
  <si>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</si>
  <si>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</si>
  <si>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</si>
  <si>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</si>
  <si>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</si>
  <si>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</si>
  <si>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</si>
  <si>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</si>
  <si>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</si>
  <si>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</si>
  <si>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</si>
  <si>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</si>
  <si>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</si>
  <si>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</si>
  <si>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</si>
  <si>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</si>
  <si>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</si>
  <si>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</si>
  <si>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</si>
  <si>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</si>
  <si>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</si>
  <si>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</si>
  <si>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</si>
  <si>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</si>
  <si>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</si>
  <si>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</si>
  <si>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</si>
  <si>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</si>
  <si>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</si>
  <si>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</si>
  <si>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</si>
  <si>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</si>
  <si>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</si>
  <si>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</si>
  <si>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</si>
  <si>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</si>
  <si>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</si>
  <si>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</si>
  <si>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</si>
  <si>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</si>
  <si>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</si>
  <si>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</si>
  <si>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</si>
  <si>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</si>
  <si>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</si>
  <si>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</si>
  <si>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</si>
  <si>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</si>
  <si>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</si>
  <si>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</si>
  <si>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</si>
  <si>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</si>
  <si>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</si>
  <si>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</si>
  <si>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</si>
  <si>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</si>
  <si>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</si>
  <si>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</si>
  <si>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</si>
  <si>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</si>
  <si>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</si>
  <si>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</si>
  <si>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</si>
  <si>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</si>
  <si>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</si>
  <si>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</si>
  <si>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</si>
  <si>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</si>
  <si>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</si>
  <si>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</si>
  <si>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</si>
  <si>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</si>
  <si>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</si>
  <si>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</si>
  <si>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</si>
  <si>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</si>
  <si>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</si>
  <si>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</si>
  <si>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</si>
  <si>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</si>
  <si>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</si>
  <si>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</si>
  <si>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</si>
  <si>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</si>
  <si>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</si>
  <si>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</si>
  <si>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</si>
  <si>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</si>
  <si>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</si>
  <si>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</si>
  <si>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</si>
  <si>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</si>
  <si>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</si>
  <si>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</si>
  <si>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</si>
  <si>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</si>
  <si>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</si>
  <si>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</si>
  <si>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</si>
  <si>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</si>
  <si>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</si>
  <si>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</si>
  <si>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</si>
  <si>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</si>
  <si>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</si>
  <si>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</si>
  <si>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</si>
  <si>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</si>
  <si>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</si>
  <si>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</si>
  <si>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</si>
  <si>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</si>
  <si>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</si>
  <si>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</si>
  <si>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</si>
  <si>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</si>
  <si>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</si>
  <si>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</si>
  <si>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</si>
  <si>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</si>
  <si>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</si>
  <si>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</si>
  <si>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</si>
  <si>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</si>
  <si>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</si>
  <si>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</si>
  <si>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</si>
  <si>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</si>
  <si>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</si>
  <si>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</si>
  <si>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</si>
  <si>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</si>
  <si>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</si>
  <si>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</si>
  <si>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</si>
  <si>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</si>
  <si>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</si>
  <si>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</si>
  <si>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</si>
  <si>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</si>
  <si>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</si>
  <si>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</si>
  <si>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</si>
  <si>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</si>
  <si>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</si>
  <si>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</si>
  <si>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</si>
  <si>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</si>
  <si>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</si>
  <si>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</si>
  <si>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</si>
  <si>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</si>
  <si>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</si>
  <si>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</si>
  <si>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</si>
  <si>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</si>
  <si>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</si>
  <si>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</si>
  <si>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</si>
  <si>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</si>
  <si>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</si>
  <si>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</si>
  <si>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</si>
  <si>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</si>
  <si>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</si>
  <si>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</si>
  <si>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</si>
  <si>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</si>
  <si>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</si>
  <si>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</si>
  <si>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</si>
  <si>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</si>
  <si>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</si>
  <si>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</si>
  <si>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</si>
  <si>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</si>
  <si>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</si>
  <si>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</si>
  <si>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</si>
  <si>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</si>
  <si>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</si>
  <si>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</si>
  <si>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</si>
  <si>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</si>
  <si>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</si>
  <si>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</si>
  <si>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</si>
  <si>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</si>
  <si>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</si>
  <si>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</si>
  <si>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</si>
  <si>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</si>
  <si>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</si>
  <si>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</si>
  <si>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</si>
  <si>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</si>
  <si>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</si>
  <si>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</si>
  <si>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</si>
  <si>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</si>
  <si>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</si>
  <si>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</si>
  <si>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</si>
  <si>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</si>
  <si>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</si>
  <si>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</si>
  <si>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</si>
  <si>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</si>
  <si>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</si>
  <si>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</si>
  <si>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</si>
  <si>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</si>
  <si>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</si>
  <si>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</si>
  <si>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</si>
  <si>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</si>
  <si>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</si>
  <si>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</si>
  <si>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</si>
  <si>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</si>
  <si>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</si>
  <si>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</si>
  <si>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</si>
  <si>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</si>
  <si>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</si>
  <si>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</si>
  <si>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</si>
  <si>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</si>
  <si>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</si>
  <si>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</si>
  <si>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</si>
  <si>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</si>
  <si>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</si>
  <si>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</si>
  <si>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</si>
  <si>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</si>
  <si>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</si>
  <si>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</si>
  <si>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</si>
  <si>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</si>
  <si>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</si>
  <si>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</si>
  <si>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</si>
  <si>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</si>
  <si>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</si>
  <si>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</si>
  <si>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</si>
  <si>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</si>
  <si>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</si>
  <si>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</si>
  <si>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</si>
  <si>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</si>
  <si>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</si>
  <si>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</si>
  <si>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</si>
  <si>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</si>
  <si>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</si>
  <si>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</si>
  <si>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</si>
  <si>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</si>
  <si>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</si>
  <si>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</si>
  <si>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</si>
  <si>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</si>
  <si>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</si>
  <si>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</si>
  <si>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</si>
  <si>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</si>
  <si>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</si>
  <si>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</si>
  <si>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</si>
  <si>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</si>
  <si>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</si>
  <si>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</si>
  <si>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</si>
  <si>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</si>
  <si>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</si>
  <si>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</si>
  <si>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</si>
  <si>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</si>
  <si>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</si>
  <si>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</si>
  <si>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</si>
  <si>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</si>
  <si>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</si>
  <si>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</si>
  <si>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</si>
  <si>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</si>
  <si>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</si>
  <si>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</si>
  <si>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</si>
  <si>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</si>
  <si>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</si>
  <si>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</si>
  <si>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</si>
  <si>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</si>
  <si>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</si>
  <si>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</si>
  <si>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</si>
  <si>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</si>
  <si>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</si>
  <si>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</si>
  <si>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</si>
  <si>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</si>
  <si>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</si>
  <si>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</si>
  <si>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</si>
  <si>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</si>
  <si>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</si>
  <si>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</si>
  <si>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</si>
  <si>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</si>
  <si>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</si>
  <si>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</si>
  <si>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</si>
  <si>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</si>
  <si>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</si>
  <si>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</si>
  <si>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</si>
  <si>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</si>
  <si>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</si>
  <si>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</si>
  <si>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</si>
  <si>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</si>
  <si>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</si>
  <si>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</si>
  <si>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</si>
  <si>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</si>
  <si>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</si>
  <si>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</si>
  <si>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</si>
  <si>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</si>
  <si>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</si>
  <si>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</si>
  <si>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</si>
  <si>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</si>
  <si>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</si>
  <si>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</si>
  <si>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</si>
  <si>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</si>
  <si>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</si>
  <si>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</si>
  <si>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</si>
  <si>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</si>
  <si>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</si>
  <si>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</si>
  <si>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</si>
  <si>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</si>
  <si>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</si>
  <si>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</si>
  <si>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</si>
  <si>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</si>
  <si>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</si>
  <si>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</si>
  <si>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</si>
  <si>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</si>
  <si>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</si>
  <si>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</si>
  <si>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</si>
  <si>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</si>
  <si>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</si>
  <si>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</si>
  <si>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</si>
  <si>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</si>
  <si>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</si>
  <si>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</si>
  <si>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</si>
  <si>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</si>
  <si>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</si>
  <si>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</si>
  <si>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</si>
  <si>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</si>
  <si>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</si>
  <si>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</si>
  <si>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</si>
  <si>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</si>
  <si>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</si>
  <si>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</si>
  <si>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</si>
  <si>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</si>
  <si>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</si>
  <si>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</si>
  <si>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</si>
  <si>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</si>
  <si>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</si>
  <si>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</si>
  <si>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</si>
  <si>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</si>
  <si>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</si>
  <si>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</si>
  <si>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</si>
  <si>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</si>
  <si>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</si>
  <si>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</si>
  <si>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</si>
  <si>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</si>
  <si>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</si>
  <si>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</si>
  <si>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</si>
  <si>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</si>
  <si>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</si>
  <si>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</si>
  <si>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</si>
  <si>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</si>
  <si>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</si>
  <si>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</si>
  <si>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</si>
  <si>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</si>
  <si>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</si>
  <si>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</si>
  <si>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</si>
  <si>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</si>
  <si>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</si>
  <si>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</si>
  <si>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</si>
  <si>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</si>
  <si>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</si>
  <si>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</si>
  <si>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</si>
  <si>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</si>
  <si>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</si>
  <si>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</si>
  <si>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</si>
  <si>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</si>
  <si>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</si>
  <si>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</si>
  <si>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</si>
  <si>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</si>
  <si>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</si>
  <si>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</si>
  <si>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</si>
  <si>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</si>
  <si>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</si>
  <si>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</si>
  <si>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</si>
  <si>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</si>
  <si>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</si>
  <si>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</si>
  <si>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</si>
  <si>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</si>
  <si>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</si>
  <si>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</si>
  <si>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</si>
  <si>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</si>
  <si>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</si>
  <si>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</si>
  <si>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</si>
  <si>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</si>
  <si>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</si>
  <si>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</si>
  <si>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</si>
  <si>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</si>
  <si>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</si>
  <si>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</si>
  <si>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</si>
  <si>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</si>
  <si>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</si>
  <si>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</si>
  <si>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</si>
  <si>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</si>
  <si>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</si>
  <si>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</si>
  <si>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</si>
  <si>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</si>
  <si>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</si>
  <si>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</si>
  <si>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</si>
  <si>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</si>
  <si>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</si>
  <si>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</si>
  <si>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</si>
  <si>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</si>
  <si>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</si>
  <si>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</si>
  <si>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</si>
  <si>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</si>
  <si>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</si>
  <si>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</si>
  <si>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</si>
  <si>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</si>
  <si>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</si>
  <si>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</si>
  <si>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</si>
  <si>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</si>
  <si>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</si>
  <si>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</si>
  <si>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</si>
  <si>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</si>
  <si>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</si>
  <si>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</si>
  <si>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</si>
  <si>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</si>
  <si>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</si>
  <si>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</si>
  <si>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</si>
  <si>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</si>
  <si>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</si>
  <si>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</si>
  <si>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</si>
  <si>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</si>
  <si>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</si>
  <si>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</si>
  <si>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</si>
  <si>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</si>
  <si>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</si>
  <si>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</si>
  <si>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</si>
  <si>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</si>
  <si>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</si>
  <si>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</si>
  <si>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</si>
  <si>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</si>
  <si>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</si>
  <si>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</si>
  <si>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</si>
  <si>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</si>
  <si>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</si>
  <si>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</si>
  <si>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</si>
  <si>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</si>
  <si>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</si>
  <si>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</si>
  <si>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</si>
  <si>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</si>
  <si>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</si>
  <si>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</si>
  <si>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</si>
  <si>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</si>
  <si>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</si>
  <si>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</si>
  <si>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</si>
  <si>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</si>
  <si>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</si>
  <si>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</si>
  <si>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</si>
  <si>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</si>
  <si>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</si>
  <si>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</si>
  <si>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</si>
  <si>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</si>
  <si>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</si>
  <si>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</si>
  <si>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</si>
  <si>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</si>
  <si>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</si>
  <si>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</si>
  <si>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</si>
  <si>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</si>
  <si>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</si>
  <si>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</si>
  <si>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</si>
  <si>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</si>
  <si>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</si>
  <si>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</si>
  <si>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</si>
  <si>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</si>
  <si>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</si>
  <si>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</si>
  <si>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</si>
  <si>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</si>
  <si>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</si>
  <si>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</si>
  <si>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</si>
  <si>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</si>
  <si>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</si>
  <si>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</si>
  <si>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</si>
  <si>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</si>
  <si>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</si>
  <si>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</si>
  <si>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</si>
  <si>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</si>
  <si>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</si>
  <si>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</si>
  <si>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</si>
  <si>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</si>
  <si>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</si>
  <si>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</si>
  <si>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</si>
  <si>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</si>
  <si>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</si>
  <si>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</si>
  <si>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</si>
  <si>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</si>
  <si>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</si>
  <si>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</si>
  <si>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</si>
  <si>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</si>
  <si>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</si>
  <si>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</si>
  <si>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</si>
  <si>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</si>
  <si>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</si>
  <si>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</si>
  <si>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</si>
  <si>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</si>
  <si>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</si>
  <si>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</si>
  <si>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</si>
  <si>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</si>
  <si>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</si>
  <si>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</si>
  <si>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</si>
  <si>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</si>
  <si>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</si>
  <si>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</si>
  <si>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</si>
  <si>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</si>
  <si>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</si>
  <si>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</si>
  <si>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</si>
  <si>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</si>
  <si>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</si>
  <si>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</si>
  <si>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</si>
  <si>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</si>
  <si>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</si>
  <si>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</si>
  <si>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</si>
  <si>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</si>
  <si>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</si>
  <si>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</si>
  <si>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</si>
  <si>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</si>
  <si>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</si>
  <si>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</si>
  <si>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</si>
  <si>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</si>
  <si>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</si>
  <si>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</si>
  <si>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</si>
  <si>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</si>
  <si>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</si>
  <si>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</si>
  <si>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</si>
  <si>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</si>
  <si>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</si>
  <si>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</si>
  <si>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</si>
  <si>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</si>
  <si>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</si>
  <si>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</si>
  <si>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</si>
  <si>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</si>
  <si>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</si>
  <si>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</si>
  <si>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</si>
  <si>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</si>
  <si>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</si>
  <si>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</si>
  <si>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</si>
  <si>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</si>
  <si>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</si>
  <si>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</si>
  <si>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</si>
  <si>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</si>
  <si>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</si>
  <si>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</si>
  <si>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</si>
  <si>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</si>
  <si>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</si>
  <si>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</si>
  <si>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</si>
  <si>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</si>
  <si>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</si>
  <si>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</si>
  <si>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</si>
  <si>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</si>
  <si>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</si>
  <si>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</si>
  <si>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</si>
  <si>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</si>
  <si>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</si>
  <si>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</si>
  <si>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</si>
  <si>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</si>
  <si>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</si>
  <si>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</si>
  <si>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</si>
  <si>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</si>
  <si>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</si>
  <si>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</si>
  <si>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</si>
  <si>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</si>
  <si>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</si>
  <si>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</si>
  <si>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</si>
  <si>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</si>
  <si>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</si>
  <si>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</si>
  <si>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</si>
  <si>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</si>
  <si>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</si>
  <si>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</si>
  <si>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</si>
  <si>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</si>
  <si>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</si>
  <si>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</si>
  <si>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</si>
  <si>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</si>
  <si>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</si>
  <si>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</si>
  <si>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</si>
  <si>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</si>
  <si>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</si>
  <si>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</si>
  <si>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</si>
  <si>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</si>
  <si>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</si>
  <si>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</si>
  <si>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</si>
  <si>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</si>
  <si>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</si>
  <si>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</si>
  <si>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</si>
  <si>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</si>
  <si>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</si>
  <si>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</si>
  <si>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</si>
  <si>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</si>
  <si>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</si>
  <si>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</si>
  <si>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</si>
  <si>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</si>
  <si>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</si>
  <si>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</si>
  <si>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</si>
  <si>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</si>
  <si>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</si>
  <si>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</si>
  <si>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</si>
  <si>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</si>
  <si>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</si>
  <si>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</si>
  <si>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</si>
  <si>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</si>
  <si>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</si>
  <si>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</si>
  <si>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</si>
  <si>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</si>
  <si>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</si>
  <si>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</si>
  <si>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</si>
  <si>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</si>
  <si>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</si>
  <si>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</si>
  <si>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</si>
  <si>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</si>
  <si>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</si>
  <si>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</si>
  <si>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</si>
  <si>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</si>
  <si>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</si>
  <si>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</si>
  <si>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</si>
  <si>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</si>
  <si>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</si>
  <si>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</si>
  <si>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</si>
  <si>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</si>
  <si>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</si>
  <si>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</si>
  <si>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</si>
  <si>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</si>
  <si>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</si>
  <si>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</si>
  <si>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</si>
  <si>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</si>
  <si>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</si>
  <si>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</si>
  <si>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</si>
  <si>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</si>
  <si>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</si>
  <si>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</si>
  <si>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</si>
  <si>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</si>
  <si>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</si>
  <si>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</si>
  <si>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</si>
  <si>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</si>
  <si>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</si>
  <si>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</si>
  <si>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</si>
  <si>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</si>
  <si>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</si>
  <si>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</si>
  <si>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</si>
  <si>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</si>
  <si>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</si>
  <si>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</si>
  <si>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</si>
  <si>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</si>
  <si>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</si>
  <si>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</si>
  <si>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</si>
  <si>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</si>
  <si>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</si>
  <si>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</si>
  <si>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</si>
  <si>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</si>
  <si>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</si>
  <si>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</si>
  <si>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</si>
  <si>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</si>
  <si>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</si>
  <si>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</si>
  <si>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</si>
  <si>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</si>
  <si>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</si>
  <si>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</si>
  <si>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</si>
  <si>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</si>
  <si>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</si>
  <si>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</si>
  <si>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</si>
  <si>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</si>
  <si>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</si>
  <si>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</si>
  <si>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</si>
  <si>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</si>
  <si>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</si>
  <si>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</si>
  <si>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</si>
  <si>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</si>
  <si>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</si>
  <si>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</si>
  <si>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</si>
  <si>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</si>
  <si>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</si>
  <si>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</si>
  <si>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</si>
  <si>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</si>
  <si>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</si>
  <si>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</si>
  <si>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</si>
  <si>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</si>
  <si>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</si>
  <si>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</si>
  <si>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</si>
  <si>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</si>
  <si>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</si>
  <si>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</si>
  <si>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</si>
  <si>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</si>
  <si>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</si>
  <si>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</si>
  <si>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</si>
  <si>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</si>
  <si>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</si>
  <si>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</si>
  <si>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</si>
  <si>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</si>
  <si>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</si>
  <si>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</si>
  <si>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</si>
  <si>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</si>
  <si>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</si>
  <si>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</si>
  <si>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</si>
  <si>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</si>
  <si>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</si>
  <si>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</si>
  <si>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</si>
  <si>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</si>
  <si>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</si>
  <si>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</si>
  <si>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</si>
  <si>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</si>
  <si>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</si>
  <si>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</si>
  <si>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</si>
  <si>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</si>
  <si>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</si>
  <si>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</si>
  <si>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</si>
  <si>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</si>
  <si>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</si>
  <si>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</si>
  <si>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</si>
  <si>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</si>
  <si>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</si>
  <si>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</si>
  <si>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</si>
  <si>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</si>
  <si>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</si>
  <si>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</si>
  <si>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</si>
  <si>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</si>
  <si>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</si>
  <si>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</si>
  <si>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</si>
  <si>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</si>
  <si>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</si>
  <si>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</si>
  <si>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</si>
  <si>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</si>
  <si>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</si>
  <si>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</si>
  <si>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</si>
  <si>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</si>
  <si>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</si>
  <si>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</si>
  <si>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</si>
  <si>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</si>
  <si>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</si>
  <si>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</si>
  <si>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</si>
  <si>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</si>
  <si>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</si>
  <si>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</si>
  <si>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</si>
  <si>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</si>
  <si>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</si>
  <si>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</si>
  <si>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</si>
  <si>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</si>
  <si>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</si>
  <si>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</si>
  <si>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</si>
  <si>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</si>
  <si>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</si>
  <si>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</si>
  <si>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</si>
  <si>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</si>
  <si>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</si>
  <si>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</si>
  <si>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</si>
  <si>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</si>
  <si>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</si>
  <si>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</si>
  <si>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</si>
  <si>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</si>
  <si>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</si>
  <si>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</si>
  <si>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</si>
  <si>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</si>
  <si>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</si>
  <si>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</si>
  <si>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</si>
  <si>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</si>
  <si>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</si>
  <si>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</si>
  <si>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</si>
  <si>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</si>
  <si>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</si>
  <si>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</si>
  <si>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</si>
  <si>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</si>
  <si>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</si>
  <si>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</si>
  <si>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</si>
  <si>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</si>
  <si>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</si>
  <si>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</si>
  <si>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</si>
  <si>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</si>
  <si>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</si>
  <si>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</si>
  <si>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</si>
  <si>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</si>
  <si>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</si>
  <si>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</si>
  <si>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</si>
  <si>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</si>
  <si>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</si>
  <si>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</si>
  <si>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</si>
  <si>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</si>
  <si>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</si>
  <si>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</si>
  <si>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</si>
  <si>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</si>
  <si>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</si>
  <si>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</si>
  <si>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</si>
  <si>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</si>
  <si>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</si>
  <si>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</si>
  <si>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</si>
  <si>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</si>
  <si>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</si>
  <si>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</si>
  <si>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</si>
  <si>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</si>
  <si>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</si>
  <si>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</si>
  <si>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</si>
  <si>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</si>
  <si>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</si>
  <si>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</si>
  <si>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</si>
  <si>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</si>
  <si>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</si>
  <si>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</si>
  <si>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</si>
  <si>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</si>
  <si>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</si>
  <si>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</si>
  <si>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</si>
  <si>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</si>
  <si>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</si>
  <si>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</si>
  <si>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</si>
  <si>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</si>
  <si>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</si>
  <si>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</si>
  <si>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</si>
  <si>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</si>
  <si>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</si>
  <si>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</si>
  <si>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</si>
  <si>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</si>
  <si>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</si>
  <si>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</si>
  <si>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</si>
  <si>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</si>
  <si>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</si>
  <si>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</si>
  <si>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</si>
  <si>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</si>
  <si>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</si>
  <si>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</si>
  <si>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</si>
  <si>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</si>
  <si>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</si>
  <si>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</si>
  <si>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</si>
  <si>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</si>
  <si>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</si>
  <si>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</si>
  <si>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</si>
  <si>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</si>
  <si>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</si>
  <si>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</si>
  <si>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</si>
  <si>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</si>
  <si>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</si>
  <si>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</si>
  <si>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</si>
  <si>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</si>
  <si>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</si>
  <si>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</si>
  <si>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</si>
  <si>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</si>
  <si>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</si>
  <si>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</si>
  <si>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</si>
  <si>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</si>
  <si>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</si>
  <si>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</si>
  <si>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</si>
  <si>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</si>
  <si>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</si>
  <si>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</si>
  <si>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</si>
  <si>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</si>
  <si>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</si>
  <si>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</si>
  <si>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</si>
  <si>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</si>
  <si>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</si>
  <si>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</si>
  <si>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</si>
  <si>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</si>
  <si>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</si>
  <si>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</si>
  <si>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</si>
  <si>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</si>
  <si>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</si>
  <si>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</si>
  <si>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</si>
  <si>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</si>
  <si>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</si>
  <si>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</si>
  <si>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</si>
  <si>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</si>
  <si>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</si>
  <si>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</si>
  <si>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</si>
  <si>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</si>
  <si>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</si>
  <si>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</si>
  <si>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</si>
  <si>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</si>
  <si>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</si>
  <si>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</si>
  <si>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</si>
  <si>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</si>
  <si>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</si>
  <si>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</si>
  <si>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</si>
  <si>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</si>
  <si>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</si>
  <si>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</si>
  <si>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</si>
  <si>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</si>
  <si>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</si>
  <si>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</si>
  <si>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</si>
  <si>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</si>
  <si>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</si>
  <si>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</si>
  <si>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</si>
  <si>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</si>
  <si>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</si>
  <si>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</si>
  <si>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</si>
  <si>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</si>
  <si>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</si>
  <si>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</si>
  <si>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</si>
  <si>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</si>
  <si>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</si>
  <si>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</si>
  <si>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</si>
  <si>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</si>
  <si>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</si>
  <si>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</si>
  <si>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</si>
  <si>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</si>
  <si>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</si>
  <si>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</si>
  <si>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</si>
  <si>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</si>
  <si>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</si>
  <si>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</si>
  <si>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</si>
  <si>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</si>
  <si>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</si>
  <si>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</si>
  <si>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</si>
  <si>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</si>
  <si>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</si>
  <si>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</si>
  <si>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</si>
  <si>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</si>
  <si>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</si>
  <si>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</si>
  <si>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</si>
  <si>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</si>
  <si>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</si>
  <si>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</si>
  <si>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</si>
  <si>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</si>
  <si>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</si>
  <si>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</si>
  <si>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</si>
  <si>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</si>
  <si>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</si>
  <si>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</si>
  <si>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</si>
  <si>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</si>
  <si>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</si>
  <si>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</si>
  <si>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</si>
  <si>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</si>
  <si>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</si>
  <si>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</si>
  <si>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</si>
  <si>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</si>
  <si>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</si>
  <si>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</si>
  <si>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</si>
  <si>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</si>
  <si>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</si>
  <si>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</si>
  <si>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</si>
  <si>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</si>
  <si>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</si>
  <si>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</si>
  <si>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</si>
  <si>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</si>
  <si>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</si>
  <si>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</si>
  <si>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</si>
  <si>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</si>
  <si>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</si>
  <si>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</si>
  <si>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</si>
  <si>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</si>
  <si>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</si>
  <si>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</si>
  <si>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</si>
  <si>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</si>
  <si>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</si>
  <si>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</si>
  <si>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</si>
  <si>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</si>
  <si>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</si>
  <si>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</si>
  <si>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</si>
  <si>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</si>
  <si>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</si>
  <si>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</si>
  <si>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</si>
  <si>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</si>
  <si>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</si>
  <si>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</si>
  <si>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</si>
  <si>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</si>
  <si>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</si>
  <si>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</si>
  <si>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</si>
  <si>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</si>
  <si>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</si>
  <si>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</si>
  <si>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</si>
  <si>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</si>
  <si>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</si>
  <si>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</si>
  <si>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</si>
  <si>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</si>
  <si>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</si>
  <si>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</si>
  <si>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</si>
  <si>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</si>
  <si>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</si>
  <si>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</si>
  <si>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</si>
  <si>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</si>
  <si>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</si>
  <si>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</si>
  <si>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</si>
  <si>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</si>
  <si>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</si>
  <si>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</si>
  <si>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</si>
  <si>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</si>
  <si>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</si>
  <si>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</si>
  <si>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</si>
  <si>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</si>
  <si>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</si>
  <si>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</si>
  <si>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</si>
  <si>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</si>
  <si>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</si>
  <si>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</si>
  <si>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</si>
  <si>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</si>
  <si>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</si>
  <si>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</si>
  <si>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</si>
  <si>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</si>
  <si>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</si>
  <si>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</si>
  <si>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</si>
  <si>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</si>
  <si>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</si>
  <si>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</si>
  <si>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</si>
  <si>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</si>
  <si>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</si>
  <si>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</si>
  <si>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</si>
  <si>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</si>
  <si>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</si>
  <si>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</si>
  <si>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</si>
  <si>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</si>
  <si>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</si>
  <si>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</si>
  <si>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</si>
  <si>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</si>
  <si>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</si>
  <si>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</si>
  <si>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</si>
  <si>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</si>
  <si>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</si>
  <si>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</si>
  <si>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</si>
  <si>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</si>
  <si>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</si>
  <si>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</si>
  <si>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</si>
  <si>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</si>
  <si>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</si>
  <si>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</si>
  <si>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</si>
  <si>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</si>
  <si>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</si>
  <si>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</si>
  <si>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</si>
  <si>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</si>
  <si>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</si>
  <si>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</si>
  <si>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</si>
  <si>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</si>
  <si>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</si>
  <si>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</si>
  <si>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</si>
  <si>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</si>
  <si>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</si>
  <si>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</si>
  <si>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</si>
  <si>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</si>
  <si>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</si>
  <si>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</si>
  <si>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</si>
  <si>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</si>
  <si>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</si>
  <si>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</si>
  <si>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</si>
  <si>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</si>
  <si>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</si>
  <si>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</si>
  <si>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</si>
  <si>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</si>
  <si>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</si>
  <si>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</si>
  <si>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</si>
  <si>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</si>
  <si>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</si>
  <si>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</si>
  <si>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</si>
  <si>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</si>
  <si>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</si>
  <si>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</si>
  <si>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</si>
  <si>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</si>
  <si>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</si>
  <si>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</si>
  <si>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</si>
  <si>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</si>
  <si>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</si>
  <si>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</si>
  <si>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</si>
  <si>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</si>
  <si>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</si>
  <si>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</si>
  <si>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</si>
  <si>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</si>
  <si>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</si>
  <si>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</si>
  <si>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</si>
  <si>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</si>
  <si>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</si>
  <si>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</si>
  <si>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</si>
  <si>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</si>
  <si>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</si>
  <si>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</si>
  <si>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</si>
  <si>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</si>
  <si>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</si>
  <si>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</si>
  <si>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</si>
  <si>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</si>
  <si>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</si>
  <si>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</si>
  <si>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</si>
  <si>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</si>
  <si>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</si>
  <si>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</si>
  <si>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</si>
  <si>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</si>
  <si>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</si>
  <si>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</si>
  <si>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</si>
  <si>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</si>
  <si>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</si>
  <si>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</si>
  <si>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</si>
  <si>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</si>
  <si>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</si>
  <si>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</si>
  <si>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</si>
  <si>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</si>
  <si>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</si>
  <si>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</si>
  <si>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</si>
  <si>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</si>
  <si>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</si>
  <si>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</si>
  <si>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</si>
  <si>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</si>
  <si>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</si>
  <si>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</si>
  <si>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</si>
  <si>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</si>
  <si>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</si>
  <si>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</si>
  <si>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</si>
  <si>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</si>
  <si>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</si>
  <si>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</si>
  <si>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</si>
  <si>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</si>
  <si>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</si>
  <si>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</si>
  <si>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</si>
  <si>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</si>
  <si>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</si>
  <si>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</si>
  <si>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</si>
  <si>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</si>
  <si>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</si>
  <si>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</si>
  <si>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</si>
  <si>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</si>
  <si>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</si>
  <si>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</si>
  <si>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</si>
  <si>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</si>
  <si>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</si>
  <si>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</si>
  <si>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</si>
  <si>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</si>
  <si>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</si>
  <si>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</si>
  <si>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</si>
  <si>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</si>
  <si>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</si>
  <si>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</si>
  <si>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</si>
  <si>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</si>
  <si>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</si>
  <si>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</si>
  <si>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</si>
  <si>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</si>
  <si>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</si>
  <si>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</si>
  <si>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</si>
  <si>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</si>
  <si>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</si>
  <si>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</si>
  <si>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</si>
  <si>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</si>
  <si>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</si>
  <si>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</si>
  <si>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</si>
  <si>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</si>
  <si>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</si>
  <si>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</si>
  <si>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</si>
  <si>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</si>
  <si>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</si>
  <si>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</si>
  <si>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</si>
  <si>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</si>
  <si>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</si>
  <si>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</si>
  <si>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</si>
  <si>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</si>
  <si>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</si>
  <si>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</si>
  <si>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</si>
  <si>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</si>
  <si>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</si>
  <si>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</si>
  <si>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</si>
  <si>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</si>
  <si>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</si>
  <si>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</si>
  <si>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</si>
  <si>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</si>
  <si>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</si>
  <si>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</si>
  <si>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</si>
  <si>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</si>
  <si>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</si>
  <si>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</si>
  <si>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</si>
  <si>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</si>
  <si>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</si>
  <si>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</si>
  <si>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</si>
  <si>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</si>
  <si>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</si>
  <si>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</si>
  <si>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</si>
  <si>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</si>
  <si>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</si>
  <si>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</si>
  <si>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</si>
  <si>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</si>
  <si>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</si>
  <si>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</si>
  <si>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</si>
  <si>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</si>
  <si>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</si>
  <si>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</si>
  <si>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</si>
  <si>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</si>
  <si>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</si>
  <si>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</si>
  <si>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</si>
  <si>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</si>
  <si>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</si>
  <si>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</si>
  <si>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</si>
  <si>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</si>
  <si>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</si>
  <si>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</si>
  <si>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</si>
  <si>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</si>
  <si>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</si>
  <si>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</si>
  <si>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</si>
  <si>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</si>
  <si>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</si>
  <si>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</si>
  <si>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</si>
  <si>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</si>
  <si>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</si>
  <si>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</si>
  <si>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</si>
  <si>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</si>
  <si>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</si>
  <si>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</si>
  <si>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</si>
  <si>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</si>
  <si>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</si>
  <si>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</si>
  <si>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</si>
  <si>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</si>
  <si>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</si>
  <si>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</si>
  <si>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</si>
  <si>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</si>
  <si>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</si>
  <si>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</si>
  <si>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</si>
  <si>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</si>
  <si>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</si>
  <si>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</si>
  <si>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</si>
  <si>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</si>
  <si>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</si>
  <si>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</si>
  <si>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</si>
  <si>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</si>
  <si>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</si>
  <si>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</si>
  <si>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</si>
  <si>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</si>
  <si>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</si>
  <si>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</si>
  <si>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</si>
  <si>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</si>
  <si>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</si>
  <si>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</si>
  <si>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</si>
  <si>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</si>
  <si>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</si>
  <si>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</si>
  <si>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</si>
  <si>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</si>
  <si>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</si>
  <si>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</si>
  <si>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</si>
  <si>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</si>
  <si>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</si>
  <si>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</si>
  <si>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</si>
  <si>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</si>
  <si>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</si>
  <si>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</si>
  <si>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</si>
  <si>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</si>
  <si>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</si>
  <si>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</si>
  <si>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</si>
  <si>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</si>
  <si>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</si>
  <si>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</si>
  <si>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</si>
  <si>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</si>
  <si>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</si>
  <si>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</si>
  <si>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</si>
  <si>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</si>
  <si>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</si>
  <si>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</si>
  <si>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</si>
  <si>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</si>
  <si>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</si>
  <si>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</si>
  <si>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</si>
  <si>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</si>
  <si>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</si>
  <si>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</si>
  <si>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</si>
  <si>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</si>
  <si>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</si>
  <si>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</si>
  <si>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</si>
  <si>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</si>
  <si>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</si>
  <si>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</si>
  <si>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</si>
  <si>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</si>
  <si>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</si>
  <si>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</si>
  <si>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</si>
  <si>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</si>
  <si>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</si>
  <si>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</si>
  <si>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</si>
  <si>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</si>
  <si>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</si>
  <si>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</si>
  <si>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</si>
  <si>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</si>
  <si>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</si>
  <si>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</si>
  <si>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</si>
  <si>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</si>
  <si>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</si>
  <si>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</si>
  <si>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</si>
  <si>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</si>
  <si>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</si>
  <si>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</si>
  <si>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</si>
  <si>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</si>
  <si>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</si>
  <si>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</si>
  <si>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</si>
  <si>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</si>
  <si>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</si>
  <si>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</si>
  <si>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</si>
  <si>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</si>
  <si>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</si>
  <si>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</si>
  <si>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</si>
  <si>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</si>
  <si>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</si>
  <si>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</si>
  <si>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</si>
  <si>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</si>
  <si>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</si>
  <si>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</si>
  <si>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</si>
  <si>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</si>
  <si>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</si>
  <si>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</si>
  <si>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</si>
  <si>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</si>
  <si>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</si>
  <si>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</si>
  <si>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</si>
  <si>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</si>
  <si>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</si>
  <si>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</si>
  <si>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</si>
  <si>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</si>
  <si>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</si>
  <si>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</si>
  <si>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</si>
  <si>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</si>
  <si>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</si>
  <si>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</si>
  <si>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</si>
  <si>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</si>
  <si>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</si>
  <si>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</si>
  <si>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</si>
  <si>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</si>
  <si>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</si>
  <si>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</si>
  <si>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</si>
  <si>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</si>
  <si>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</si>
  <si>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</si>
  <si>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</si>
  <si>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</si>
  <si>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</si>
  <si>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</si>
  <si>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</si>
  <si>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</si>
  <si>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</si>
  <si>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</si>
  <si>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</si>
  <si>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</si>
  <si>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</si>
  <si>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</si>
  <si>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</si>
  <si>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</si>
  <si>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</si>
  <si>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</si>
  <si>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</si>
  <si>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</si>
  <si>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</si>
  <si>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</si>
  <si>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</si>
  <si>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</si>
  <si>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</si>
  <si>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</si>
  <si>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</si>
  <si>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</si>
  <si>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</si>
  <si>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</si>
  <si>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</si>
  <si>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</si>
  <si>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</si>
  <si>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</si>
  <si>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</si>
  <si>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</si>
  <si>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</si>
  <si>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</si>
  <si>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</si>
  <si>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</si>
  <si>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</si>
  <si>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</si>
  <si>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</si>
  <si>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</si>
  <si>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</si>
  <si>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</si>
  <si>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</si>
  <si>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</si>
  <si>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</si>
  <si>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</si>
  <si>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</si>
  <si>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</si>
  <si>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</si>
  <si>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</si>
  <si>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</si>
  <si>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</si>
  <si>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</si>
  <si>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</si>
  <si>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</si>
  <si>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</si>
  <si>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</si>
  <si>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</si>
  <si>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</si>
  <si>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</si>
  <si>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</si>
  <si>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</si>
  <si>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</si>
  <si>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</si>
  <si>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</si>
  <si>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</si>
  <si>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</si>
  <si>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</si>
  <si>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</si>
  <si>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</si>
  <si>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</si>
  <si>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</si>
  <si>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</si>
  <si>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</si>
  <si>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</si>
  <si>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</si>
  <si>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</si>
  <si>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</si>
  <si>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</si>
  <si>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</si>
  <si>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</si>
  <si>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</si>
  <si>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</si>
  <si>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</si>
  <si>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</si>
  <si>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</si>
  <si>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</si>
  <si>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</si>
  <si>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</si>
  <si>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</si>
  <si>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</si>
  <si>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</si>
  <si>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</si>
  <si>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</si>
  <si>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</si>
  <si>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</si>
  <si>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</si>
  <si>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</si>
  <si>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</si>
  <si>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</si>
  <si>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</si>
  <si>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</si>
  <si>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</si>
  <si>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</si>
  <si>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</si>
  <si>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</si>
  <si>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</si>
  <si>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</si>
  <si>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</si>
  <si>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</si>
  <si>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</si>
  <si>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</si>
  <si>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</si>
  <si>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</si>
  <si>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</si>
  <si>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</si>
  <si>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</si>
  <si>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</si>
  <si>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</si>
  <si>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</si>
  <si>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</si>
  <si>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</si>
  <si>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</si>
  <si>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</si>
  <si>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</si>
  <si>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</si>
  <si>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</si>
  <si>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</si>
  <si>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</si>
  <si>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</si>
  <si>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</si>
  <si>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</si>
  <si>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</si>
  <si>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</si>
  <si>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</si>
  <si>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</si>
  <si>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</si>
  <si>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</si>
  <si>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</si>
  <si>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</si>
  <si>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</si>
  <si>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</si>
  <si>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</si>
  <si>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</si>
  <si>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</si>
  <si>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</si>
  <si>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</si>
  <si>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</si>
  <si>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</si>
  <si>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</si>
  <si>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</si>
  <si>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</si>
  <si>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</si>
  <si>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</si>
  <si>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</si>
  <si>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</si>
  <si>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</si>
  <si>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</si>
  <si>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</si>
  <si>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</si>
  <si>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</si>
  <si>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</si>
  <si>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</si>
  <si>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</si>
  <si>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</si>
  <si>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</si>
  <si>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</si>
  <si>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</si>
  <si>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</si>
  <si>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</si>
  <si>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</si>
  <si>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</si>
  <si>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</si>
  <si>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</si>
  <si>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</si>
  <si>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</si>
  <si>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</si>
  <si>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</si>
  <si>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</si>
  <si>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</si>
  <si>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</si>
  <si>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</si>
  <si>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</si>
  <si>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</si>
  <si>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</si>
  <si>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</si>
  <si>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</si>
  <si>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</si>
  <si>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</si>
  <si>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</si>
  <si>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</si>
  <si>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</si>
  <si>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</si>
  <si>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</si>
  <si>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</si>
  <si>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</si>
  <si>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</si>
  <si>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</si>
  <si>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</si>
  <si>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</si>
  <si>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</si>
  <si>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</si>
  <si>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</si>
  <si>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</si>
  <si>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</si>
  <si>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</si>
  <si>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</si>
  <si>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</si>
  <si>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</si>
  <si>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</si>
  <si>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</si>
  <si>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</si>
  <si>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</si>
  <si>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</si>
  <si>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</si>
  <si>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</si>
  <si>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</si>
  <si>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</si>
  <si>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</si>
  <si>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</si>
  <si>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</si>
  <si>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</si>
  <si>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</si>
  <si>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</si>
  <si>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</si>
  <si>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</si>
  <si>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</si>
  <si>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</si>
  <si>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</si>
  <si>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</si>
  <si>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</si>
  <si>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</si>
  <si>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</si>
  <si>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</si>
  <si>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</si>
  <si>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</si>
  <si>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</si>
  <si>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</si>
  <si>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</si>
  <si>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</si>
  <si>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</si>
  <si>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</si>
  <si>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</si>
  <si>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</si>
  <si>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</si>
  <si>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</si>
  <si>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</si>
  <si>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</si>
  <si>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</si>
  <si>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</si>
  <si>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</si>
  <si>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</si>
  <si>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</si>
  <si>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</si>
  <si>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</si>
  <si>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</si>
  <si>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</si>
  <si>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</si>
  <si>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</si>
  <si>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</si>
  <si>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</si>
  <si>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</si>
  <si>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</si>
  <si>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</si>
  <si>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</si>
  <si>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</si>
  <si>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</si>
  <si>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</si>
  <si>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</si>
  <si>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</si>
  <si>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</si>
  <si>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</si>
  <si>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</si>
  <si>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</si>
  <si>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</si>
  <si>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</si>
  <si>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</si>
  <si>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</si>
  <si>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</si>
  <si>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</si>
  <si>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</si>
  <si>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</si>
  <si>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</si>
  <si>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</si>
  <si>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</si>
  <si>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</si>
  <si>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</si>
  <si>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</si>
  <si>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</si>
  <si>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</si>
  <si>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</si>
  <si>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</si>
  <si>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</si>
  <si>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</si>
  <si>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</si>
  <si>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</si>
  <si>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</si>
  <si>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</si>
  <si>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</si>
  <si>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</si>
  <si>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</si>
  <si>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</si>
  <si>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</si>
  <si>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</si>
  <si>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</si>
  <si>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</si>
  <si>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</si>
  <si>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</si>
  <si>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</si>
  <si>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</si>
  <si>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</si>
  <si>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</si>
  <si>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</si>
  <si>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</si>
  <si>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</si>
  <si>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</si>
  <si>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</si>
  <si>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</si>
  <si>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</si>
  <si>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</si>
  <si>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</si>
  <si>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</si>
  <si>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</si>
  <si>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</si>
  <si>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</si>
  <si>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</si>
  <si>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</si>
  <si>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</si>
  <si>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</si>
  <si>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</si>
  <si>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</si>
  <si>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</si>
  <si>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</si>
  <si>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</si>
  <si>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</si>
  <si>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</si>
  <si>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</si>
  <si>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</si>
  <si>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</si>
  <si>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</si>
  <si>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</si>
  <si>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</si>
  <si>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</si>
  <si>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</si>
  <si>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</si>
  <si>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</si>
  <si>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</si>
  <si>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</si>
  <si>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</si>
  <si>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</si>
  <si>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</si>
  <si>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</si>
  <si>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</si>
  <si>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</si>
  <si>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</si>
  <si>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</si>
  <si>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</si>
  <si>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</si>
  <si>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</si>
  <si>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</si>
  <si>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</si>
  <si>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</si>
  <si>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</si>
  <si>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</si>
  <si>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</si>
  <si>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</si>
  <si>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</si>
  <si>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</si>
  <si>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</si>
  <si>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</si>
  <si>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</si>
  <si>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</si>
  <si>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</si>
  <si>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</si>
  <si>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</si>
  <si>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</si>
  <si>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</si>
  <si>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</si>
  <si>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</si>
  <si>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</si>
  <si>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</si>
  <si>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</si>
  <si>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</si>
  <si>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</si>
  <si>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</si>
  <si>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</si>
  <si>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</si>
  <si>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</si>
  <si>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</si>
  <si>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</si>
  <si>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</si>
  <si>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</si>
  <si>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</si>
  <si>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</si>
  <si>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</si>
  <si>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</si>
  <si>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</si>
  <si>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</si>
  <si>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</si>
  <si>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</si>
  <si>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</si>
  <si>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</si>
  <si>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</si>
  <si>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</si>
  <si>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</si>
  <si>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</si>
  <si>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</si>
  <si>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</si>
  <si>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</si>
  <si>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</si>
  <si>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</si>
  <si>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</si>
  <si>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</si>
  <si>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</si>
  <si>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</si>
  <si>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</si>
  <si>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</si>
  <si>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</si>
  <si>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</si>
  <si>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</si>
  <si>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</si>
  <si>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</si>
  <si>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</si>
  <si>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</si>
  <si>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</si>
  <si>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</si>
  <si>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</si>
  <si>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</si>
  <si>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</si>
  <si>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</si>
  <si>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</si>
  <si>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</si>
  <si>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</si>
  <si>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</si>
  <si>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</si>
  <si>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</si>
  <si>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</si>
  <si>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</si>
  <si>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</si>
  <si>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</si>
  <si>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</si>
  <si>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</si>
  <si>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</si>
  <si>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</si>
  <si>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</si>
  <si>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</si>
  <si>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</si>
  <si>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</si>
  <si>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</si>
  <si>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</si>
  <si>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</si>
  <si>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</si>
  <si>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</si>
  <si>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</si>
  <si>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</si>
  <si>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</si>
  <si>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</si>
  <si>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</si>
  <si>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</si>
  <si>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</si>
  <si>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</si>
  <si>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</si>
  <si>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</si>
  <si>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</si>
  <si>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</si>
  <si>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</si>
  <si>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</si>
  <si>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</si>
  <si>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</si>
  <si>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</si>
  <si>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</si>
  <si>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</si>
  <si>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</si>
  <si>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</si>
  <si>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</si>
  <si>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</si>
  <si>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</si>
  <si>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</si>
  <si>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</si>
  <si>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</si>
  <si>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</si>
  <si>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</si>
  <si>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</si>
  <si>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</si>
  <si>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</si>
  <si>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</si>
  <si>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</si>
  <si>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</si>
  <si>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</si>
  <si>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</si>
  <si>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</si>
  <si>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</si>
  <si>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</si>
  <si>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</si>
  <si>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</si>
  <si>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</si>
  <si>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</si>
  <si>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</si>
  <si>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</si>
  <si>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</si>
  <si>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</si>
  <si>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</si>
  <si>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</si>
  <si>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</si>
  <si>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</si>
  <si>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</si>
  <si>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</si>
  <si>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</si>
  <si>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</si>
  <si>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</si>
  <si>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</si>
  <si>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</si>
  <si>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</si>
  <si>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</si>
  <si>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</si>
  <si>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</si>
  <si>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</si>
  <si>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</si>
  <si>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</si>
  <si>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</si>
  <si>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</si>
  <si>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</si>
  <si>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</si>
  <si>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</si>
  <si>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</si>
  <si>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</si>
  <si>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</si>
  <si>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</si>
  <si>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</si>
  <si>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</si>
  <si>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</si>
  <si>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</si>
  <si>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</si>
  <si>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</si>
  <si>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</si>
  <si>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</si>
  <si>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</si>
  <si>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</si>
  <si>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</si>
  <si>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</si>
  <si>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</si>
  <si>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</si>
  <si>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</si>
  <si>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</si>
  <si>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</si>
  <si>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</si>
  <si>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</si>
  <si>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</si>
  <si>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</si>
  <si>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</si>
  <si>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</si>
  <si>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</si>
  <si>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</si>
  <si>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</si>
  <si>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</si>
  <si>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</si>
  <si>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</si>
  <si>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</si>
  <si>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</si>
  <si>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</si>
  <si>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</si>
  <si>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</si>
  <si>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</si>
  <si>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</si>
  <si>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</si>
  <si>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</si>
  <si>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</si>
  <si>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</si>
  <si>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</si>
  <si>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</si>
  <si>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</si>
  <si>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</si>
  <si>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</si>
  <si>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</si>
  <si>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</si>
  <si>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</si>
  <si>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</si>
  <si>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</si>
  <si>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</si>
  <si>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</si>
  <si>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</si>
  <si>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</si>
  <si>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</si>
  <si>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</si>
  <si>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</si>
  <si>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</si>
  <si>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</si>
  <si>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</si>
  <si>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</si>
  <si>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</si>
  <si>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</si>
  <si>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</si>
  <si>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</si>
  <si>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</si>
  <si>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</si>
  <si>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</si>
  <si>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</si>
  <si>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</si>
  <si>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</si>
  <si>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</si>
  <si>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</si>
  <si>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</si>
  <si>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</si>
  <si>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</si>
  <si>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</si>
  <si>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</si>
  <si>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</si>
  <si>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</si>
  <si>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</si>
  <si>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</si>
  <si>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</si>
  <si>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</si>
  <si>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</si>
  <si>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</si>
  <si>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</si>
  <si>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</si>
  <si>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</si>
  <si>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</si>
  <si>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</si>
  <si>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</si>
  <si>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</si>
  <si>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</si>
  <si>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</si>
  <si>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</si>
  <si>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</si>
  <si>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</si>
  <si>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</si>
  <si>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</si>
  <si>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</si>
  <si>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</si>
  <si>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</si>
  <si>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</si>
  <si>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</si>
  <si>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</si>
  <si>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</si>
  <si>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</si>
  <si>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</si>
  <si>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</si>
  <si>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</si>
  <si>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</si>
  <si>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</si>
  <si>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</si>
  <si>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</si>
  <si>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</si>
  <si>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</si>
  <si>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</si>
  <si>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</si>
  <si>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</si>
  <si>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</si>
  <si>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</si>
  <si>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</si>
  <si>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</si>
  <si>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</si>
  <si>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</si>
  <si>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</si>
  <si>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</si>
  <si>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</si>
  <si>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</si>
  <si>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</si>
  <si>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</si>
  <si>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</si>
  <si>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</si>
  <si>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</si>
  <si>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</si>
  <si>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</si>
  <si>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</si>
  <si>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</si>
  <si>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</si>
  <si>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</si>
  <si>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</si>
  <si>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</si>
  <si>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</si>
  <si>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</si>
  <si>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</si>
  <si>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</si>
  <si>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</si>
  <si>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</si>
  <si>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</si>
  <si>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</si>
  <si>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</si>
  <si>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</si>
  <si>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</si>
  <si>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</si>
  <si>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</si>
  <si>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</si>
  <si>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</si>
  <si>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</si>
  <si>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</si>
  <si>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</si>
  <si>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</si>
  <si>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</si>
  <si>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</si>
  <si>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</si>
  <si>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</si>
  <si>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</si>
  <si>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</si>
  <si>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</si>
  <si>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</si>
  <si>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</si>
  <si>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</si>
  <si>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</si>
  <si>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</si>
  <si>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</si>
  <si>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</si>
  <si>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</si>
  <si>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</si>
  <si>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</si>
  <si>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</si>
  <si>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</si>
  <si>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</si>
  <si>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</si>
  <si>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</si>
  <si>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</si>
  <si>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</si>
  <si>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</si>
  <si>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</si>
  <si>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</si>
  <si>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</si>
  <si>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</si>
  <si>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</si>
  <si>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</si>
  <si>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</si>
  <si>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</si>
  <si>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</si>
  <si>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</si>
  <si>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</si>
  <si>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</si>
  <si>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</si>
  <si>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</si>
  <si>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</si>
  <si>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</si>
  <si>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</si>
  <si>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</si>
  <si>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</si>
  <si>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</si>
  <si>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</si>
  <si>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</si>
  <si>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</si>
  <si>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</si>
  <si>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</si>
  <si>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</si>
  <si>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</si>
  <si>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</si>
  <si>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</si>
  <si>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</si>
  <si>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</si>
  <si>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</si>
  <si>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</si>
  <si>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</si>
  <si>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</si>
  <si>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</si>
  <si>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</si>
  <si>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</si>
  <si>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</si>
  <si>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</si>
  <si>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</si>
  <si>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</si>
  <si>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</si>
  <si>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</si>
  <si>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</si>
  <si>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</si>
  <si>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</si>
  <si>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</si>
  <si>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</si>
  <si>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</si>
  <si>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</si>
  <si>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</si>
  <si>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</si>
  <si>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</si>
  <si>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</si>
  <si>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</si>
  <si>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</si>
  <si>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</si>
  <si>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</si>
  <si>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</si>
  <si>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</si>
  <si>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</si>
  <si>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</si>
  <si>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</si>
  <si>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</si>
  <si>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</si>
  <si>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</si>
  <si>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</si>
  <si>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</si>
  <si>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</si>
  <si>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</si>
  <si>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</si>
  <si>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</si>
  <si>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</si>
  <si>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</si>
  <si>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</si>
  <si>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</si>
  <si>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</si>
  <si>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</si>
  <si>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</si>
  <si>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</si>
  <si>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</si>
  <si>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</si>
  <si>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</si>
  <si>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</si>
  <si>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</si>
  <si>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</si>
  <si>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</si>
  <si>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</si>
  <si>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</si>
  <si>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</si>
  <si>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</si>
  <si>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</si>
  <si>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</si>
  <si>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</si>
  <si>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</si>
  <si>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</si>
  <si>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</si>
  <si>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</si>
  <si>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</si>
  <si>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</si>
  <si>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</si>
  <si>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</si>
  <si>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</si>
  <si>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</si>
  <si>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</si>
  <si>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</si>
  <si>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</si>
  <si>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</si>
  <si>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</si>
  <si>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</si>
  <si>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</si>
  <si>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</si>
  <si>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</si>
  <si>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</si>
  <si>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</si>
  <si>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</si>
  <si>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</si>
  <si>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</si>
  <si>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</si>
  <si>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</si>
  <si>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</si>
  <si>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</si>
  <si>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</si>
  <si>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</si>
  <si>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</si>
  <si>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</si>
  <si>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</si>
  <si>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</si>
  <si>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</si>
  <si>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</si>
  <si>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</si>
  <si>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</si>
  <si>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</si>
  <si>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</si>
  <si>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</si>
  <si>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</si>
  <si>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</si>
  <si>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</si>
  <si>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</si>
  <si>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</si>
  <si>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</si>
  <si>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</si>
  <si>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</si>
  <si>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</si>
  <si>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</si>
  <si>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</si>
  <si>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</si>
  <si>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</si>
  <si>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</si>
  <si>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</si>
  <si>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</si>
  <si>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</si>
  <si>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</si>
  <si>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</si>
  <si>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</si>
  <si>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</si>
  <si>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</si>
  <si>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</si>
  <si>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</si>
  <si>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</si>
  <si>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</si>
  <si>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</si>
  <si>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</si>
  <si>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</si>
  <si>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</si>
  <si>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</si>
  <si>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</si>
  <si>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</si>
  <si>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</si>
  <si>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</si>
  <si>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</si>
  <si>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</si>
  <si>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</si>
  <si>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</si>
  <si>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</si>
  <si>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</si>
  <si>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</si>
  <si>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</si>
  <si>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</si>
  <si>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</si>
  <si>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</si>
  <si>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</si>
  <si>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</si>
  <si>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</si>
  <si>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</si>
  <si>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</si>
  <si>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</si>
  <si>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</si>
  <si>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</si>
  <si>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</si>
  <si>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</si>
  <si>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</si>
  <si>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</si>
  <si>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</si>
  <si>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</si>
  <si>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</si>
  <si>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</si>
  <si>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</si>
  <si>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</si>
  <si>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</si>
  <si>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</si>
  <si>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</si>
  <si>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</si>
  <si>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</si>
  <si>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</si>
  <si>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</si>
  <si>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</si>
  <si>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</si>
  <si>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</si>
  <si>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</si>
  <si>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</si>
  <si>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</si>
  <si>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</si>
  <si>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</si>
  <si>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</si>
  <si>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</si>
  <si>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</si>
  <si>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</si>
  <si>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</si>
  <si>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</si>
  <si>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</si>
  <si>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</si>
  <si>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</si>
  <si>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</si>
  <si>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</si>
  <si>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</si>
  <si>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</si>
  <si>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</si>
  <si>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</si>
  <si>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</si>
  <si>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</si>
  <si>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</si>
  <si>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</si>
  <si>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</si>
  <si>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</si>
  <si>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</si>
  <si>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</si>
  <si>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</si>
  <si>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</si>
  <si>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</si>
  <si>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</si>
  <si>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</si>
  <si>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</si>
  <si>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</si>
  <si>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</si>
  <si>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</si>
  <si>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</si>
  <si>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</si>
  <si>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</si>
  <si>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</si>
  <si>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</si>
  <si>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</si>
  <si>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</si>
  <si>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</si>
  <si>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</si>
  <si>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</si>
  <si>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</si>
  <si>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</si>
  <si>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</si>
  <si>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</si>
  <si>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</si>
  <si>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</si>
  <si>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</si>
  <si>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</si>
  <si>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</si>
  <si>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</si>
  <si>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</si>
  <si>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</si>
  <si>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</si>
  <si>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</si>
  <si>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</si>
  <si>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</si>
  <si>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</si>
  <si>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</si>
  <si>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</si>
  <si>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</si>
  <si>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</si>
  <si>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</si>
  <si>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</si>
  <si>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</si>
  <si>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</si>
  <si>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</si>
  <si>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</si>
  <si>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</si>
  <si>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</si>
  <si>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</si>
  <si>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</si>
  <si>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</si>
  <si>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</si>
  <si>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</si>
  <si>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</si>
  <si>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</si>
  <si>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</si>
  <si>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</si>
  <si>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</si>
  <si>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</si>
  <si>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</si>
  <si>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</si>
  <si>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</si>
  <si>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</si>
  <si>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</si>
  <si>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</si>
  <si>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</si>
  <si>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</si>
  <si>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</si>
  <si>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</si>
  <si>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</si>
  <si>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</si>
  <si>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</si>
  <si>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</si>
  <si>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</si>
  <si>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</si>
  <si>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</si>
  <si>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</si>
  <si>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</si>
  <si>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</si>
  <si>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</si>
  <si>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</si>
  <si>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</si>
  <si>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</si>
  <si>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</si>
  <si>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</si>
  <si>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</si>
  <si>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</si>
  <si>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</si>
  <si>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</si>
  <si>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</si>
  <si>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</si>
  <si>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</si>
  <si>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</si>
  <si>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</si>
  <si>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</si>
  <si>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</si>
  <si>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</si>
  <si>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</si>
  <si>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</si>
  <si>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</si>
  <si>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</si>
  <si>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</si>
  <si>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</si>
  <si>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</si>
  <si>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</si>
  <si>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</si>
  <si>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</si>
  <si>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</si>
  <si>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</si>
  <si>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</si>
  <si>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</si>
  <si>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</si>
  <si>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</si>
  <si>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</si>
  <si>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</si>
  <si>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</si>
  <si>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</si>
  <si>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</si>
  <si>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</si>
  <si>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</si>
  <si>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</si>
  <si>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</si>
  <si>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</si>
  <si>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</si>
  <si>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</si>
  <si>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</si>
  <si>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</si>
  <si>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</si>
  <si>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</si>
  <si>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</si>
  <si>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</si>
  <si>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</si>
  <si>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</si>
  <si>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</si>
  <si>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</si>
  <si>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</si>
  <si>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</si>
  <si>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</si>
  <si>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</si>
  <si>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</si>
  <si>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</si>
  <si>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</si>
  <si>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</si>
  <si>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</si>
  <si>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</si>
  <si>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</si>
  <si>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</si>
  <si>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</si>
  <si>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</si>
  <si>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</si>
  <si>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</si>
  <si>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</si>
  <si>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</si>
  <si>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</si>
  <si>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</si>
  <si>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</si>
  <si>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</si>
  <si>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</si>
  <si>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</si>
  <si>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</si>
  <si>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</si>
  <si>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</si>
  <si>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</si>
  <si>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</si>
  <si>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</si>
  <si>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</si>
  <si>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</si>
  <si>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</si>
  <si>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</si>
  <si>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</si>
  <si>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</si>
  <si>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</si>
  <si>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</si>
  <si>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</si>
  <si>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</si>
  <si>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</si>
  <si>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</si>
  <si>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</si>
  <si>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</si>
  <si>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</si>
  <si>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</si>
  <si>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</si>
  <si>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</si>
  <si>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</si>
  <si>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</si>
  <si>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</si>
  <si>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</si>
  <si>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</si>
  <si>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</si>
  <si>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</si>
  <si>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</si>
  <si>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</si>
  <si>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</si>
  <si>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</si>
  <si>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</si>
  <si>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</si>
  <si>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</si>
  <si>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</si>
  <si>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</si>
  <si>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</si>
  <si>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</si>
  <si>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</si>
  <si>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</si>
  <si>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</si>
  <si>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</si>
  <si>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</si>
  <si>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</si>
  <si>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</si>
  <si>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</si>
  <si>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</si>
  <si>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</si>
  <si>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</si>
  <si>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</si>
  <si>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</si>
  <si>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</si>
  <si>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</si>
  <si>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</si>
  <si>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</si>
  <si>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</si>
  <si>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</si>
  <si>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</si>
  <si>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</si>
  <si>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</si>
  <si>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</si>
  <si>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</si>
  <si>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</si>
  <si>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</si>
  <si>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</si>
  <si>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</si>
  <si>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</si>
  <si>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</si>
  <si>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</si>
  <si>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</si>
  <si>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</si>
  <si>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</si>
  <si>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</si>
  <si>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</si>
  <si>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</si>
  <si>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</si>
  <si>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</si>
  <si>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</si>
  <si>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</si>
  <si>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</si>
  <si>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</si>
  <si>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</si>
  <si>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</si>
  <si>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</si>
  <si>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</si>
  <si>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</si>
  <si>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</si>
  <si>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</si>
  <si>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</si>
  <si>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</si>
  <si>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</si>
  <si>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</si>
  <si>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</si>
  <si>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</si>
  <si>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</si>
  <si>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</si>
  <si>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</si>
  <si>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</si>
  <si>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</si>
  <si>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</si>
  <si>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</si>
  <si>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</si>
  <si>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</si>
  <si>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</si>
  <si>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</si>
  <si>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</si>
  <si>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</si>
  <si>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</si>
  <si>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</si>
  <si>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</si>
  <si>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</si>
  <si>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</si>
  <si>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</si>
  <si>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</si>
  <si>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</si>
  <si>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</si>
  <si>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</si>
  <si>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</si>
  <si>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</si>
  <si>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</si>
  <si>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</si>
  <si>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</si>
  <si>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</si>
  <si>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</si>
  <si>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</si>
  <si>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</si>
  <si>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</si>
  <si>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</si>
  <si>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</si>
  <si>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</si>
  <si>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</si>
  <si>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</si>
  <si>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</si>
  <si>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</si>
  <si>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</si>
  <si>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</si>
  <si>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</si>
  <si>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</si>
  <si>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</si>
  <si>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</si>
  <si>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</si>
  <si>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</si>
  <si>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</si>
  <si>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</si>
  <si>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</si>
  <si>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</si>
  <si>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</si>
  <si>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</si>
  <si>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</si>
  <si>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</si>
  <si>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</si>
  <si>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</si>
  <si>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</si>
  <si>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</si>
  <si>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</si>
  <si>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</si>
  <si>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</si>
  <si>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</si>
  <si>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</si>
  <si>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</si>
  <si>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</si>
  <si>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</si>
  <si>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</si>
  <si>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</si>
  <si>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</si>
  <si>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</si>
  <si>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</si>
  <si>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</si>
  <si>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</si>
  <si>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</si>
  <si>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</si>
  <si>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</si>
  <si>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</si>
  <si>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</si>
  <si>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</si>
  <si>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</si>
  <si>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</si>
  <si>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</si>
  <si>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</si>
  <si>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</si>
  <si>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</si>
  <si>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</si>
  <si>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</si>
  <si>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</si>
  <si>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</si>
  <si>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</si>
  <si>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</si>
  <si>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</si>
  <si>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</si>
  <si>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</si>
  <si>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</si>
  <si>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</si>
  <si>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</si>
  <si>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</si>
  <si>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</si>
  <si>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</si>
  <si>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</si>
  <si>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</si>
  <si>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</si>
  <si>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</si>
  <si>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</si>
  <si>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</si>
  <si>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</si>
  <si>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</si>
  <si>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</si>
  <si>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</si>
  <si>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</si>
  <si>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</si>
  <si>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</si>
  <si>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</si>
  <si>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</si>
  <si>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</si>
  <si>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</si>
  <si>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</si>
  <si>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</si>
  <si>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</si>
  <si>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</si>
  <si>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</si>
  <si>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</si>
  <si>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</si>
  <si>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</si>
  <si>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</si>
  <si>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</si>
  <si>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</si>
  <si>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</si>
  <si>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</si>
  <si>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</si>
  <si>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</si>
  <si>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</si>
  <si>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</si>
  <si>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</si>
  <si>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</si>
  <si>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</si>
  <si>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</si>
  <si>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</si>
  <si>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</si>
  <si>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</si>
  <si>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</si>
  <si>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</si>
  <si>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</si>
  <si>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</si>
  <si>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</si>
  <si>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</si>
  <si>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</si>
  <si>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</si>
  <si>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</si>
  <si>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</si>
  <si>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</si>
  <si>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</si>
  <si>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</si>
  <si>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</si>
  <si>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</si>
  <si>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</si>
  <si>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</si>
  <si>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</si>
  <si>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</si>
  <si>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</si>
  <si>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</si>
  <si>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</si>
  <si>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</si>
  <si>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</si>
  <si>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</si>
  <si>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</si>
  <si>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</si>
  <si>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</si>
  <si>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</si>
  <si>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</si>
  <si>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</si>
  <si>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</si>
  <si>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</si>
  <si>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</si>
  <si>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</si>
  <si>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</si>
  <si>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</si>
  <si>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</si>
  <si>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</si>
  <si>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</si>
  <si>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</si>
  <si>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</si>
  <si>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</si>
  <si>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</si>
  <si>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</si>
  <si>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</si>
  <si>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</si>
  <si>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</si>
  <si>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</si>
  <si>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</si>
  <si>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</si>
  <si>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</si>
  <si>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</si>
  <si>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</si>
  <si>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</si>
  <si>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</si>
  <si>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</si>
  <si>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</si>
  <si>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</si>
  <si>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</si>
  <si>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</si>
  <si>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</si>
  <si>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</si>
  <si>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</si>
  <si>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</si>
  <si>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</si>
  <si>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</si>
  <si>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</si>
  <si>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</si>
  <si>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</si>
  <si>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</si>
  <si>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</si>
  <si>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</si>
  <si>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</si>
  <si>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</si>
  <si>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</si>
  <si>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</si>
  <si>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</si>
  <si>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</si>
  <si>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</si>
  <si>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</si>
  <si>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</si>
  <si>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</si>
  <si>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</si>
  <si>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</si>
  <si>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</si>
  <si>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</si>
  <si>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</si>
  <si>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</si>
  <si>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</si>
  <si>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</si>
  <si>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</si>
  <si>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</si>
  <si>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</si>
  <si>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</si>
  <si>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</si>
  <si>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</si>
  <si>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</si>
  <si>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</si>
  <si>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</si>
  <si>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</si>
  <si>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</si>
  <si>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</si>
  <si>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</si>
  <si>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</si>
  <si>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</si>
  <si>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</si>
  <si>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</si>
  <si>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</si>
  <si>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</si>
  <si>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</si>
  <si>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</si>
  <si>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</si>
  <si>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</si>
  <si>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</si>
  <si>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</si>
  <si>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</si>
  <si>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</si>
  <si>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</si>
  <si>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</si>
  <si>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</si>
  <si>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</si>
  <si>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</si>
  <si>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</si>
  <si>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</si>
  <si>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</si>
  <si>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</si>
  <si>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</si>
  <si>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</si>
  <si>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</si>
  <si>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</si>
  <si>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</si>
  <si>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</si>
  <si>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</si>
  <si>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</si>
  <si>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</si>
  <si>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</si>
  <si>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</si>
  <si>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</si>
  <si>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</si>
  <si>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</si>
  <si>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</si>
  <si>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</si>
  <si>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</si>
  <si>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</si>
  <si>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</si>
  <si>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</si>
  <si>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</si>
  <si>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</si>
  <si>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</si>
  <si>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</si>
  <si>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</si>
  <si>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</si>
  <si>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</si>
  <si>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</si>
  <si>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</si>
  <si>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</si>
  <si>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</si>
  <si>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</si>
  <si>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</si>
  <si>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</si>
  <si>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</si>
  <si>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</si>
  <si>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</si>
  <si>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</si>
  <si>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</si>
  <si>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</si>
  <si>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</si>
  <si>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</si>
  <si>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</si>
  <si>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</si>
  <si>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</si>
  <si>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</si>
  <si>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</si>
  <si>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</si>
  <si>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</si>
  <si>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</si>
  <si>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</si>
  <si>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</si>
  <si>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</si>
  <si>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</si>
  <si>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</si>
  <si>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</si>
  <si>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</si>
  <si>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</si>
  <si>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</si>
  <si>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</si>
  <si>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</si>
  <si>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</si>
  <si>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</si>
  <si>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</si>
  <si>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</si>
  <si>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</si>
  <si>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</si>
  <si>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</si>
  <si>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</si>
  <si>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</si>
  <si>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</si>
  <si>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</si>
  <si>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</si>
  <si>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</si>
  <si>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</si>
  <si>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</si>
  <si>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</si>
  <si>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</si>
  <si>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</si>
  <si>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</si>
  <si>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</si>
  <si>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</si>
  <si>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</si>
  <si>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</si>
  <si>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</si>
  <si>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</si>
  <si>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</si>
  <si>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</si>
  <si>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</si>
  <si>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</si>
  <si>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</si>
  <si>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</si>
  <si>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</si>
  <si>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</si>
  <si>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</si>
  <si>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</si>
  <si>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</si>
  <si>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</si>
  <si>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</si>
  <si>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</si>
  <si>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</si>
  <si>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</si>
  <si>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</si>
  <si>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</si>
  <si>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</si>
  <si>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</si>
  <si>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</si>
  <si>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</si>
  <si>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</si>
  <si>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</si>
  <si>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</si>
  <si>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</si>
  <si>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</si>
  <si>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</si>
  <si>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</si>
  <si>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</si>
  <si>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</si>
  <si>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</si>
  <si>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</si>
  <si>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</si>
  <si>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</si>
  <si>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</si>
  <si>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</si>
  <si>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</si>
  <si>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</si>
  <si>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</si>
  <si>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</si>
  <si>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</si>
  <si>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</si>
  <si>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</si>
  <si>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</si>
  <si>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</si>
  <si>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</si>
  <si>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</si>
  <si>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</si>
  <si>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</si>
  <si>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</si>
  <si>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</si>
  <si>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</si>
  <si>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</si>
  <si>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</si>
  <si>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</si>
  <si>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</si>
  <si>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</si>
  <si>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</si>
  <si>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</si>
  <si>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</si>
  <si>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</si>
  <si>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</si>
  <si>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</si>
  <si>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</si>
  <si>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</si>
  <si>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</si>
  <si>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</si>
  <si>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</si>
  <si>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</si>
  <si>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</si>
  <si>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</si>
  <si>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</si>
  <si>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</si>
  <si>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</si>
  <si>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</si>
  <si>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</si>
  <si>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</si>
  <si>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</si>
  <si>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</si>
  <si>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</si>
  <si>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</si>
  <si>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</si>
  <si>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</si>
  <si>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</si>
  <si>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</si>
  <si>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</si>
  <si>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</si>
  <si>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</si>
  <si>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</si>
  <si>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</si>
  <si>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</si>
  <si>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</si>
  <si>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</si>
  <si>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</si>
  <si>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</si>
  <si>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</si>
  <si>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</si>
  <si>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</si>
  <si>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</si>
  <si>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</si>
  <si>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</si>
  <si>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</si>
  <si>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</si>
  <si>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</si>
  <si>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</si>
  <si>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</si>
  <si>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</si>
  <si>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</si>
  <si>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</si>
  <si>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</si>
  <si>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</si>
  <si>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</si>
  <si>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</si>
  <si>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</si>
  <si>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</si>
  <si>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</si>
  <si>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</si>
  <si>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</si>
  <si>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</si>
  <si>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</si>
  <si>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</si>
  <si>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</si>
  <si>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</si>
  <si>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</si>
  <si>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</si>
  <si>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</si>
  <si>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</si>
  <si>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</si>
  <si>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</si>
  <si>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</si>
  <si>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</si>
  <si>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</si>
  <si>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</si>
  <si>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</si>
  <si>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</si>
  <si>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</si>
  <si>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</si>
  <si>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</si>
  <si>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</si>
  <si>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</si>
  <si>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</si>
  <si>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</si>
  <si>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</si>
  <si>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</si>
  <si>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</si>
  <si>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</si>
  <si>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</si>
  <si>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</si>
  <si>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</si>
  <si>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</si>
  <si>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</si>
  <si>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</si>
  <si>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</si>
  <si>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</si>
  <si>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</si>
  <si>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</si>
  <si>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</si>
  <si>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</si>
  <si>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</si>
  <si>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</si>
  <si>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</si>
  <si>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</si>
  <si>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</si>
  <si>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</si>
  <si>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</si>
  <si>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</si>
  <si>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</si>
  <si>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</si>
  <si>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</si>
  <si>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</si>
  <si>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</si>
  <si>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</si>
  <si>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</si>
  <si>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</si>
  <si>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</si>
  <si>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</si>
  <si>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</si>
  <si>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</si>
  <si>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</si>
  <si>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</si>
  <si>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</si>
  <si>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</si>
  <si>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</si>
  <si>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</si>
  <si>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</si>
  <si>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</si>
  <si>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</si>
  <si>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</si>
  <si>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</si>
  <si>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</si>
  <si>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</si>
  <si>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</si>
  <si>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</si>
  <si>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</si>
  <si>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</si>
  <si>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</si>
  <si>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</si>
  <si>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</si>
  <si>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</si>
  <si>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</si>
  <si>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</si>
  <si>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</si>
  <si>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</si>
  <si>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</si>
  <si>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</si>
  <si>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</si>
  <si>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</si>
  <si>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</si>
  <si>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</si>
  <si>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</si>
  <si>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</si>
  <si>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</si>
  <si>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</si>
  <si>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</si>
  <si>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</si>
  <si>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</si>
  <si>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</si>
  <si>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</si>
  <si>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</si>
  <si>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</si>
  <si>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</si>
  <si>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</si>
  <si>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</si>
  <si>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</si>
  <si>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</si>
  <si>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</si>
  <si>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</si>
  <si>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</si>
  <si>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</si>
  <si>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</si>
  <si>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</si>
  <si>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</si>
  <si>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</si>
  <si>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</si>
  <si>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</si>
  <si>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</si>
  <si>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</si>
  <si>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</si>
  <si>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</si>
  <si>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</si>
  <si>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</si>
  <si>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</si>
  <si>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</si>
  <si>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</si>
  <si>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</si>
  <si>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</si>
  <si>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</si>
  <si>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</si>
  <si>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</si>
  <si>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</si>
  <si>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</si>
  <si>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</si>
  <si>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</si>
  <si>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</si>
  <si>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</si>
  <si>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</si>
  <si>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</si>
  <si>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</si>
  <si>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</si>
  <si>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</si>
  <si>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</si>
  <si>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</si>
  <si>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</si>
  <si>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</si>
  <si>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</si>
  <si>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</si>
  <si>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</si>
  <si>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</si>
  <si>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</si>
  <si>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</si>
  <si>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</si>
  <si>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</si>
  <si>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</si>
  <si>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</si>
  <si>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</si>
  <si>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</si>
  <si>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</si>
  <si>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</si>
  <si>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</si>
  <si>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</si>
  <si>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</si>
  <si>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</si>
  <si>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</si>
  <si>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</si>
  <si>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</si>
  <si>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</si>
  <si>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</si>
  <si>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</si>
  <si>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</si>
  <si>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</si>
  <si>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</si>
  <si>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</si>
  <si>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</si>
  <si>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</si>
  <si>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</si>
  <si>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</si>
  <si>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</si>
  <si>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</si>
  <si>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</si>
  <si>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</si>
  <si>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</si>
  <si>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</si>
  <si>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</si>
  <si>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</si>
  <si>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</si>
  <si>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</si>
  <si>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</si>
  <si>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</si>
  <si>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</si>
  <si>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</si>
  <si>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</si>
  <si>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</si>
  <si>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</si>
  <si>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</si>
  <si>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</si>
  <si>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</si>
  <si>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</si>
  <si>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</si>
  <si>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</si>
  <si>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</si>
  <si>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</si>
  <si>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</si>
  <si>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</si>
  <si>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</si>
  <si>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</si>
  <si>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</si>
  <si>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</si>
  <si>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</si>
  <si>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</si>
  <si>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</si>
  <si>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</si>
  <si>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</si>
  <si>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</si>
  <si>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</si>
  <si>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</si>
  <si>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</si>
  <si>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</si>
  <si>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</si>
  <si>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</si>
  <si>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</si>
  <si>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</si>
  <si>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</si>
  <si>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</si>
  <si>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</si>
  <si>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</si>
  <si>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</si>
  <si>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</si>
  <si>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</si>
  <si>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</si>
  <si>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</si>
  <si>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</si>
  <si>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</si>
  <si>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</si>
  <si>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</si>
  <si>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</si>
  <si>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</si>
  <si>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</si>
  <si>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</si>
  <si>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</si>
  <si>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</si>
  <si>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</si>
  <si>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</si>
  <si>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</si>
  <si>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</si>
  <si>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</si>
  <si>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</si>
  <si>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</si>
  <si>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</si>
  <si>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</si>
  <si>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</si>
  <si>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</si>
  <si>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</si>
  <si>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</si>
  <si>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</si>
  <si>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</si>
  <si>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</si>
  <si>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</si>
  <si>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</si>
  <si>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</si>
  <si>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</si>
  <si>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</si>
  <si>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</si>
  <si>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</si>
  <si>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</si>
  <si>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</si>
  <si>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</si>
  <si>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</si>
  <si>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</si>
  <si>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</si>
  <si>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</si>
  <si>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</si>
  <si>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</si>
  <si>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</si>
  <si>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</si>
  <si>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</si>
  <si>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</si>
  <si>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</si>
  <si>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</si>
  <si>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</si>
  <si>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</si>
  <si>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</si>
  <si>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</si>
  <si>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</si>
  <si>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</si>
  <si>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</si>
  <si>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</si>
  <si>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</si>
  <si>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</si>
  <si>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</si>
  <si>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</si>
  <si>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</si>
  <si>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</si>
  <si>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</si>
  <si>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</si>
  <si>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</si>
  <si>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</si>
  <si>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</si>
  <si>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</si>
  <si>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</si>
  <si>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</si>
  <si>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</si>
  <si>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</si>
  <si>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</si>
  <si>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</si>
  <si>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</si>
  <si>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</si>
  <si>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</si>
  <si>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</si>
  <si>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</si>
  <si>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</si>
  <si>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</si>
  <si>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</si>
  <si>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</si>
  <si>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</si>
  <si>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</si>
  <si>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</si>
  <si>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</si>
  <si>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</si>
  <si>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</si>
  <si>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</si>
  <si>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</si>
  <si>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</si>
  <si>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</si>
  <si>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</si>
  <si>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</si>
  <si>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</si>
  <si>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</si>
  <si>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</si>
  <si>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</si>
  <si>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</si>
  <si>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</si>
  <si>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</si>
  <si>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</si>
  <si>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</si>
  <si>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</si>
  <si>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</si>
  <si>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</si>
  <si>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</si>
  <si>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</si>
  <si>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</si>
  <si>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</si>
  <si>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</si>
  <si>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</si>
  <si>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</si>
  <si>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</si>
  <si>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</si>
  <si>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</si>
  <si>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</si>
  <si>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</si>
  <si>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</si>
  <si>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</si>
  <si>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</si>
  <si>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</si>
  <si>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</si>
  <si>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</si>
  <si>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</si>
  <si>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</si>
  <si>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</si>
  <si>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</si>
  <si>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</si>
  <si>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</si>
  <si>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</si>
  <si>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</si>
  <si>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</si>
  <si>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</si>
  <si>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</si>
  <si>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</si>
  <si>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</si>
  <si>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</si>
  <si>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</si>
  <si>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</si>
  <si>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</si>
  <si>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</si>
  <si>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</si>
  <si>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</si>
  <si>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</si>
  <si>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</si>
  <si>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</si>
  <si>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</si>
  <si>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</si>
  <si>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</si>
  <si>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</si>
  <si>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</si>
  <si>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</si>
  <si>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</si>
  <si>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</si>
  <si>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</si>
  <si>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</si>
  <si>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</si>
  <si>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</si>
  <si>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</si>
  <si>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</si>
  <si>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</si>
  <si>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</si>
  <si>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</si>
  <si>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</si>
  <si>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</si>
  <si>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</si>
  <si>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</si>
  <si>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</si>
  <si>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</si>
  <si>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</si>
  <si>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</si>
  <si>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</si>
  <si>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</si>
  <si>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</si>
  <si>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</si>
  <si>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</si>
  <si>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</si>
  <si>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</si>
  <si>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</si>
  <si>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</si>
  <si>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</si>
  <si>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</si>
  <si>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</si>
  <si>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</si>
  <si>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</si>
  <si>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</si>
  <si>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</si>
  <si>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</si>
  <si>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</si>
  <si>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</si>
  <si>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</si>
  <si>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</si>
  <si>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</si>
  <si>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</si>
  <si>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</si>
  <si>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</si>
  <si>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</si>
  <si>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</si>
  <si>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</si>
  <si>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</si>
  <si>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</si>
  <si>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</si>
  <si>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</si>
  <si>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</si>
  <si>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</si>
  <si>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</si>
  <si>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</si>
  <si>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</si>
  <si>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</si>
  <si>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</si>
  <si>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</si>
  <si>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</si>
  <si>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</si>
  <si>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</si>
  <si>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</si>
  <si>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</si>
  <si>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</si>
  <si>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</si>
  <si>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</si>
  <si>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</si>
  <si>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</si>
  <si>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</si>
  <si>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</si>
  <si>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</si>
  <si>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</si>
  <si>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</si>
  <si>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</si>
  <si>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</si>
  <si>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</si>
  <si>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</si>
  <si>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</si>
  <si>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</si>
  <si>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</si>
  <si>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</si>
  <si>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Formers (UK) Limited</t>
  </si>
  <si>
    <t>A. Company-wide</t>
  </si>
  <si>
    <t>GB566174815</t>
  </si>
  <si>
    <t>VAT</t>
  </si>
  <si>
    <t>Richard III Road, Leicester, LE3 5QT, UK</t>
  </si>
  <si>
    <t>Brad Miles</t>
  </si>
  <si>
    <t>brad@formers.co.uk</t>
  </si>
  <si>
    <t>0044 1162336600</t>
  </si>
  <si>
    <t>Andy Verster</t>
  </si>
  <si>
    <t>Quality Manager</t>
  </si>
  <si>
    <t>andy@formers.co.uk</t>
  </si>
  <si>
    <t>4-6 microns tin plating on terminals and wire pins that are inserted into bobbins</t>
  </si>
  <si>
    <t>100%</t>
  </si>
  <si>
    <t>www.formers.co.uk/material-specifications/conflict-mineral-statement/</t>
  </si>
  <si>
    <t>CFSI</t>
  </si>
  <si>
    <t>PT Timah (Persero) Tbk Mentok</t>
  </si>
  <si>
    <t/>
  </si>
  <si>
    <t>Metallo-Chimique N.V.</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</si>
</sst>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0"/>
      <color indexed="12"/>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5" fillId="33" borderId="34" xfId="0" applyFont="1" applyFill="1" applyBorder="1" applyAlignment="1" applyProtection="1">
      <alignment horizontal="left" vertical="center"/>
      <protection locked="0"/>
    </xf>
    <xf numFmtId="0" fontId="15" fillId="33" borderId="27" xfId="0" applyFont="1" applyFill="1" applyBorder="1" applyAlignment="1" applyProtection="1">
      <alignment horizontal="left" vertical="center"/>
      <protection locked="0"/>
    </xf>
    <xf numFmtId="0" fontId="15" fillId="33" borderId="59" xfId="0" applyFont="1" applyFill="1" applyBorder="1" applyAlignment="1" applyProtection="1">
      <alignment horizontal="left" vertical="center"/>
      <protection locked="0"/>
    </xf>
    <xf numFmtId="49" fontId="84" fillId="33" borderId="58"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protection locked="0"/>
    </xf>
    <xf numFmtId="49" fontId="15" fillId="33" borderId="10" xfId="0" applyNumberFormat="1" applyFont="1" applyFill="1" applyBorder="1" applyAlignment="1" applyProtection="1">
      <alignment horizontal="left" vertical="center"/>
      <protection locked="0"/>
    </xf>
    <xf numFmtId="49" fontId="15" fillId="33" borderId="37" xfId="0" applyNumberFormat="1" applyFont="1" applyFill="1" applyBorder="1" applyAlignment="1" applyProtection="1">
      <alignment horizontal="left" vertical="center"/>
      <protection locked="0"/>
    </xf>
    <xf numFmtId="0" fontId="15" fillId="33" borderId="10" xfId="0" applyFont="1" applyFill="1" applyBorder="1" applyAlignment="1" applyProtection="1">
      <alignment horizontal="left" vertical="center"/>
      <protection locked="0"/>
    </xf>
    <xf numFmtId="0" fontId="15" fillId="33" borderId="10" xfId="0" applyFont="1" applyFill="1" applyBorder="1" applyAlignment="1" applyProtection="1">
      <alignment horizontal="left" vertical="center" wrapText="1"/>
      <protection locked="0"/>
    </xf>
    <xf numFmtId="0" fontId="15" fillId="0" borderId="68" xfId="0" applyNumberFormat="1" applyFont="1" applyBorder="1" applyAlignment="1" applyProtection="1">
      <alignment horizontal="left"/>
      <protection locked="0"/>
    </xf>
    <xf numFmtId="0" fontId="15" fillId="0" borderId="69" xfId="0" applyNumberFormat="1" applyFont="1" applyBorder="1" applyAlignment="1" applyProtection="1">
      <alignment horizontal="left"/>
      <protection locked="0"/>
    </xf>
    <xf numFmtId="0" fontId="15" fillId="0" borderId="70" xfId="0" applyNumberFormat="1" applyFont="1" applyBorder="1" applyAlignment="1" applyProtection="1">
      <alignment horizontal="left"/>
      <protection locked="0"/>
    </xf>
    <xf numFmtId="0" fontId="98" fillId="33" borderId="58" xfId="487"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9">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indexed="10"/>
      </font>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rgb="FFFFFF00"/>
        </patternFill>
      </fill>
    </dxf>
    <dxf>
      <fill>
        <patternFill>
          <bgColor indexed="13"/>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8"/>
      <c r="B1" s="349"/>
      <c r="C1" s="349"/>
      <c r="D1" s="349"/>
      <c r="E1" s="349"/>
      <c r="F1" s="349"/>
      <c r="G1" s="349"/>
      <c r="H1" s="349"/>
      <c r="I1" s="349"/>
      <c r="J1" s="349"/>
      <c r="K1" s="350"/>
      <c r="L1" s="100"/>
      <c r="P1" s="3"/>
      <c r="Q1" s="3"/>
      <c r="R1" s="3"/>
      <c r="S1" s="3"/>
      <c r="T1" s="3"/>
      <c r="U1" s="3"/>
      <c r="V1" s="3"/>
      <c r="W1" s="3"/>
      <c r="X1" s="3"/>
      <c r="Y1" s="3"/>
      <c r="Z1" s="3"/>
      <c r="AA1" s="3"/>
      <c r="AB1" s="3"/>
      <c r="AC1" s="3"/>
      <c r="AD1" s="3"/>
      <c r="AE1" s="3"/>
      <c r="AF1" s="3"/>
      <c r="AG1" s="3"/>
      <c r="AH1" s="3"/>
    </row>
    <row r="2" spans="1:34" ht="82.35" customHeight="1">
      <c r="A2" s="34"/>
      <c r="B2" s="136"/>
      <c r="C2" s="35"/>
      <c r="D2" s="351" t="str">
        <f ca="1">OFFSET(L!$C$1,MATCH("Declaration"&amp;ADDRESS(ROW(),COLUMN(),4),L!$A:$A,0)-1,SL,,)</f>
        <v>Conflict Minerals Reporting Template (CMRT)</v>
      </c>
      <c r="E2" s="352"/>
      <c r="F2" s="352"/>
      <c r="G2" s="352"/>
      <c r="H2" s="352"/>
      <c r="I2" s="352"/>
      <c r="J2" s="35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8"/>
      <c r="G3" s="358"/>
      <c r="H3" s="358"/>
      <c r="I3" s="152"/>
      <c r="J3" s="138" t="s">
        <v>15794</v>
      </c>
      <c r="K3" s="36"/>
      <c r="L3" s="100"/>
      <c r="P3" s="45">
        <f>MATCH($D$3,LN,0)</f>
        <v>1</v>
      </c>
    </row>
    <row r="4" spans="1:34" ht="15.75">
      <c r="A4" s="34"/>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6"/>
      <c r="L6" s="115" t="s">
        <v>443</v>
      </c>
      <c r="P6" s="3"/>
      <c r="Q6" s="3"/>
      <c r="R6" s="3"/>
      <c r="S6" s="3"/>
      <c r="T6" s="3"/>
      <c r="U6" s="3"/>
      <c r="V6" s="3"/>
      <c r="W6" s="3"/>
      <c r="X6" s="3"/>
      <c r="Y6" s="3"/>
      <c r="Z6" s="3"/>
      <c r="AA6" s="3"/>
      <c r="AB6" s="3"/>
      <c r="AC6" s="3"/>
      <c r="AD6" s="3"/>
      <c r="AE6" s="3"/>
      <c r="AF6" s="3"/>
      <c r="AG6" s="3"/>
      <c r="AH6" s="3"/>
    </row>
    <row r="7" spans="1:34" ht="37.15" customHeight="1">
      <c r="A7" s="34"/>
      <c r="B7" s="360" t="str">
        <f ca="1">OFFSET(L!$C$1,MATCH("Declaration"&amp;ADDRESS(ROW(),COLUMN(),4),L!$A:$A,0)-1,SL,,)</f>
        <v>Company Information</v>
      </c>
      <c r="C7" s="360"/>
      <c r="D7" s="360"/>
      <c r="E7" s="360"/>
      <c r="F7" s="360"/>
      <c r="G7" s="360"/>
      <c r="H7" s="360"/>
      <c r="I7" s="360"/>
      <c r="J7" s="36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78" t="s">
        <v>15795</v>
      </c>
      <c r="E8" s="379"/>
      <c r="F8" s="379"/>
      <c r="G8" s="379"/>
      <c r="H8" s="379"/>
      <c r="I8" s="379"/>
      <c r="J8" s="38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81" t="s">
        <v>494</v>
      </c>
      <c r="E9" s="382"/>
      <c r="F9" s="382"/>
      <c r="G9" s="383"/>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1" t="str">
        <f ca="1">OFFSET(L!$C$1,MATCH("Declaration"&amp;ADDRESS(ROW(),COLUMN(),4)&amp;LEFT($D$9,1),L!$A:$A,0)-1,SL,,)</f>
        <v>Description of Scope:</v>
      </c>
      <c r="C10" s="122"/>
      <c r="D10" s="355" t="s">
        <v>15796</v>
      </c>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5.75">
      <c r="A11" s="38"/>
      <c r="B11" s="362"/>
      <c r="C11" s="122"/>
      <c r="D11" s="339" t="str">
        <f ca="1">IF(D9=Q9,OFFSET(L!$C$1,MATCH("Declaration"&amp;ADDRESS(ROW(),COLUMN(),4),L!$A:$A,0)-1,SL,,),"")</f>
        <v/>
      </c>
      <c r="E11" s="340"/>
      <c r="F11" s="340"/>
      <c r="G11" s="340"/>
      <c r="H11" s="340"/>
      <c r="I11" s="340"/>
      <c r="J11" s="34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84" t="s">
        <v>15797</v>
      </c>
      <c r="E12" s="385"/>
      <c r="F12" s="385"/>
      <c r="G12" s="385"/>
      <c r="H12" s="385"/>
      <c r="I12" s="385"/>
      <c r="J12" s="386"/>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t="s">
        <v>15798</v>
      </c>
      <c r="E13" s="387"/>
      <c r="F13" s="387"/>
      <c r="G13" s="387"/>
      <c r="H13" s="387"/>
      <c r="I13" s="387"/>
      <c r="J13" s="32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3" t="s">
        <v>15799</v>
      </c>
      <c r="E14" s="387"/>
      <c r="F14" s="387"/>
      <c r="G14" s="387"/>
      <c r="H14" s="387"/>
      <c r="I14" s="387"/>
      <c r="J14" s="32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36" t="s">
        <v>15800</v>
      </c>
      <c r="E15" s="388"/>
      <c r="F15" s="388"/>
      <c r="G15" s="388"/>
      <c r="H15" s="388"/>
      <c r="I15" s="388"/>
      <c r="J15" s="33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36" t="s">
        <v>15801</v>
      </c>
      <c r="E16" s="388"/>
      <c r="F16" s="388"/>
      <c r="G16" s="388"/>
      <c r="H16" s="388"/>
      <c r="I16" s="388"/>
      <c r="J16" s="33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36" t="s">
        <v>15802</v>
      </c>
      <c r="E17" s="388"/>
      <c r="F17" s="388"/>
      <c r="G17" s="388"/>
      <c r="H17" s="388"/>
      <c r="I17" s="388"/>
      <c r="J17" s="33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36" t="s">
        <v>15803</v>
      </c>
      <c r="E18" s="388"/>
      <c r="F18" s="388"/>
      <c r="G18" s="388"/>
      <c r="H18" s="388"/>
      <c r="I18" s="388"/>
      <c r="J18" s="33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36" t="s">
        <v>15804</v>
      </c>
      <c r="E19" s="388"/>
      <c r="F19" s="388"/>
      <c r="G19" s="388"/>
      <c r="H19" s="388"/>
      <c r="I19" s="388"/>
      <c r="J19" s="33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5" t="s">
        <v>15805</v>
      </c>
      <c r="E20" s="356"/>
      <c r="F20" s="356"/>
      <c r="G20" s="356"/>
      <c r="H20" s="356"/>
      <c r="I20" s="356"/>
      <c r="J20" s="35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9" t="s">
        <v>15802</v>
      </c>
      <c r="E21" s="390"/>
      <c r="F21" s="390"/>
      <c r="G21" s="390"/>
      <c r="H21" s="390"/>
      <c r="I21" s="390"/>
      <c r="J21" s="39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63">
        <v>45386</v>
      </c>
      <c r="E22" s="36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7"/>
      <c r="E23" s="34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65" t="str">
        <f ca="1">OFFSET(L!$C$1,MATCH("Declaration"&amp;ADDRESS(ROW(),COLUMN(),4),L!$A:$A,0)-1,SL,,)</f>
        <v>Answer the following questions 1 - 8 based on the declaration scope indicated above</v>
      </c>
      <c r="C24" s="365"/>
      <c r="D24" s="365"/>
      <c r="E24" s="365"/>
      <c r="F24" s="365"/>
      <c r="G24" s="365"/>
      <c r="H24" s="365"/>
      <c r="I24" s="365"/>
      <c r="J24" s="36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3" t="s">
        <v>489</v>
      </c>
      <c r="E26" s="324"/>
      <c r="F26" s="12"/>
      <c r="G26" s="325"/>
      <c r="H26" s="326"/>
      <c r="I26" s="326"/>
      <c r="J26" s="32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3" t="s">
        <v>488</v>
      </c>
      <c r="E27" s="324"/>
      <c r="F27" s="12"/>
      <c r="G27" s="325" t="s">
        <v>15806</v>
      </c>
      <c r="H27" s="326"/>
      <c r="I27" s="326"/>
      <c r="J27" s="32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3" t="s">
        <v>489</v>
      </c>
      <c r="E28" s="324"/>
      <c r="F28" s="12"/>
      <c r="G28" s="325"/>
      <c r="H28" s="326"/>
      <c r="I28" s="326"/>
      <c r="J28" s="327"/>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3" t="s">
        <v>489</v>
      </c>
      <c r="E29" s="324"/>
      <c r="F29" s="12"/>
      <c r="G29" s="325"/>
      <c r="H29" s="326"/>
      <c r="I29" s="326"/>
      <c r="J29" s="32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2"/>
      <c r="E32" s="343"/>
      <c r="F32" s="47"/>
      <c r="G32" s="325"/>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3" t="s">
        <v>488</v>
      </c>
      <c r="E33" s="324"/>
      <c r="F33" s="47"/>
      <c r="G33" s="325" t="s">
        <v>15806</v>
      </c>
      <c r="H33" s="326"/>
      <c r="I33" s="326"/>
      <c r="J33" s="32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3"/>
      <c r="E34" s="324"/>
      <c r="F34" s="47"/>
      <c r="G34" s="325"/>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3"/>
      <c r="E35" s="324"/>
      <c r="F35" s="47"/>
      <c r="G35" s="325"/>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46"/>
      <c r="I37" s="346"/>
      <c r="J37" s="346"/>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3"/>
      <c r="E38" s="324"/>
      <c r="F38" s="47"/>
      <c r="G38" s="325"/>
      <c r="H38" s="326"/>
      <c r="I38" s="326"/>
      <c r="J38" s="32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3" t="s">
        <v>489</v>
      </c>
      <c r="E39" s="324"/>
      <c r="F39" s="47"/>
      <c r="G39" s="325"/>
      <c r="H39" s="326"/>
      <c r="I39" s="326"/>
      <c r="J39" s="32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3"/>
      <c r="E40" s="324"/>
      <c r="F40" s="47"/>
      <c r="G40" s="325"/>
      <c r="H40" s="326"/>
      <c r="I40" s="326"/>
      <c r="J40" s="327"/>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3"/>
      <c r="E41" s="324"/>
      <c r="F41" s="47"/>
      <c r="G41" s="325"/>
      <c r="H41" s="326"/>
      <c r="I41" s="326"/>
      <c r="J41" s="32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3"/>
      <c r="E44" s="324"/>
      <c r="F44" s="47"/>
      <c r="G44" s="325"/>
      <c r="H44" s="326"/>
      <c r="I44" s="326"/>
      <c r="J44" s="32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3" t="s">
        <v>489</v>
      </c>
      <c r="E45" s="324"/>
      <c r="F45" s="47"/>
      <c r="G45" s="325"/>
      <c r="H45" s="326"/>
      <c r="I45" s="326"/>
      <c r="J45" s="32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3"/>
      <c r="E46" s="324"/>
      <c r="F46" s="47"/>
      <c r="G46" s="325"/>
      <c r="H46" s="326"/>
      <c r="I46" s="326"/>
      <c r="J46" s="327"/>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3"/>
      <c r="E47" s="324"/>
      <c r="F47" s="47"/>
      <c r="G47" s="325"/>
      <c r="H47" s="326"/>
      <c r="I47" s="326"/>
      <c r="J47" s="32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3"/>
      <c r="E50" s="324"/>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3" t="s">
        <v>489</v>
      </c>
      <c r="E51" s="324"/>
      <c r="F51" s="47"/>
      <c r="G51" s="325"/>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3"/>
      <c r="E52" s="324"/>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3"/>
      <c r="E53" s="324"/>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4"/>
      <c r="E56" s="345"/>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4" t="s">
        <v>15807</v>
      </c>
      <c r="E57" s="345"/>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4"/>
      <c r="E58" s="345"/>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4"/>
      <c r="E59" s="345"/>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29"/>
      <c r="I61" s="329"/>
      <c r="J61" s="329"/>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2"/>
      <c r="E62" s="343"/>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3" t="s">
        <v>488</v>
      </c>
      <c r="E63" s="324"/>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3"/>
      <c r="E64" s="324"/>
      <c r="F64" s="47"/>
      <c r="G64" s="325"/>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3"/>
      <c r="E65" s="324"/>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29" t="str">
        <f>IF(Q75="(*)","Click here to enter smelter names","")</f>
        <v/>
      </c>
      <c r="I67" s="329"/>
      <c r="J67" s="329"/>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3"/>
      <c r="E68" s="324"/>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3" t="s">
        <v>488</v>
      </c>
      <c r="E69" s="324"/>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3"/>
      <c r="E70" s="324"/>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3"/>
      <c r="E71" s="324"/>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8" t="str">
        <f ca="1">OFFSET(L!$C$1,MATCH("Declaration"&amp;ADDRESS(ROW(),COLUMN(),4),L!$A:$A,0)-1,SL,,)</f>
        <v>Answer the Following Questions at a Company Level</v>
      </c>
      <c r="C73" s="328"/>
      <c r="D73" s="328"/>
      <c r="E73" s="328"/>
      <c r="F73" s="328"/>
      <c r="G73" s="328"/>
      <c r="H73" s="328"/>
      <c r="I73" s="328"/>
      <c r="J73" s="32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3" t="s">
        <v>488</v>
      </c>
      <c r="E75" s="324"/>
      <c r="F75" s="57"/>
      <c r="G75" s="325"/>
      <c r="H75" s="326"/>
      <c r="I75" s="326"/>
      <c r="J75" s="327"/>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1"/>
      <c r="H76" s="331"/>
      <c r="I76" s="331"/>
      <c r="J76" s="33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3" t="s">
        <v>488</v>
      </c>
      <c r="E77" s="324"/>
      <c r="F77" s="57"/>
      <c r="G77" s="392" t="s">
        <v>15808</v>
      </c>
      <c r="H77" s="326"/>
      <c r="I77" s="326"/>
      <c r="J77" s="327"/>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3" t="s">
        <v>488</v>
      </c>
      <c r="E79" s="324"/>
      <c r="F79" s="57"/>
      <c r="G79" s="325"/>
      <c r="H79" s="326"/>
      <c r="I79" s="326"/>
      <c r="J79" s="327"/>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3" t="s">
        <v>488</v>
      </c>
      <c r="E81" s="324"/>
      <c r="F81" s="57"/>
      <c r="G81" s="325"/>
      <c r="H81" s="326"/>
      <c r="I81" s="326"/>
      <c r="J81" s="327"/>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3" t="s">
        <v>14982</v>
      </c>
      <c r="E83" s="324"/>
      <c r="F83" s="57"/>
      <c r="G83" s="325"/>
      <c r="H83" s="326"/>
      <c r="I83" s="326"/>
      <c r="J83" s="327"/>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6" t="s">
        <v>488</v>
      </c>
      <c r="E85" s="337"/>
      <c r="F85" s="57"/>
      <c r="G85" s="325"/>
      <c r="H85" s="326"/>
      <c r="I85" s="326"/>
      <c r="J85" s="327"/>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1"/>
      <c r="H86" s="331"/>
      <c r="I86" s="331"/>
      <c r="J86" s="33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3" t="s">
        <v>488</v>
      </c>
      <c r="E87" s="324"/>
      <c r="F87" s="57"/>
      <c r="G87" s="325"/>
      <c r="H87" s="326"/>
      <c r="I87" s="326"/>
      <c r="J87" s="327"/>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8"/>
      <c r="H88" s="338"/>
      <c r="I88" s="338"/>
      <c r="J88" s="33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3" t="s">
        <v>489</v>
      </c>
      <c r="E89" s="324"/>
      <c r="F89" s="57"/>
      <c r="G89" s="325"/>
      <c r="H89" s="326"/>
      <c r="I89" s="326"/>
      <c r="J89" s="327"/>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5" t="str">
        <f>IF(OR($D$8="",$I$3=""),"","Click here to check required fields completion")</f>
        <v/>
      </c>
      <c r="C90" s="335"/>
      <c r="D90" s="335"/>
      <c r="E90" s="335"/>
      <c r="F90" s="335"/>
      <c r="G90" s="335"/>
      <c r="H90" s="335"/>
      <c r="I90" s="335"/>
      <c r="J90" s="335"/>
      <c r="K90" s="36"/>
      <c r="L90" s="100"/>
      <c r="P90" s="3"/>
      <c r="Q90" s="3"/>
      <c r="R90" s="3"/>
      <c r="S90" s="3"/>
      <c r="T90" s="3"/>
      <c r="U90" s="3"/>
      <c r="V90" s="3"/>
      <c r="W90" s="3"/>
      <c r="X90" s="3"/>
      <c r="Y90" s="3"/>
      <c r="Z90" s="3"/>
      <c r="AA90" s="3"/>
      <c r="AB90" s="3"/>
      <c r="AC90" s="3"/>
      <c r="AD90" s="3"/>
      <c r="AE90" s="3"/>
      <c r="AF90" s="3"/>
      <c r="AG90" s="3"/>
      <c r="AH90" s="3"/>
    </row>
    <row r="91" spans="1:34" ht="15.75" thickBot="1">
      <c r="A91" s="333" t="str">
        <f ca="1">OFFSET(L!$C$1,MATCH("General"&amp;"Cpy",L!$A:$A,0)-1,SL,,)</f>
        <v>© 2023 Responsible Minerals Initiative. All rights reserved.</v>
      </c>
      <c r="B91" s="334"/>
      <c r="C91" s="334"/>
      <c r="D91" s="334"/>
      <c r="E91" s="334"/>
      <c r="F91" s="334"/>
      <c r="G91" s="334"/>
      <c r="H91" s="334"/>
      <c r="I91" s="334"/>
      <c r="J91" s="33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08" priority="176" stopIfTrue="1">
      <formula>IF($D$22="",TRUE)</formula>
    </cfRule>
  </conditionalFormatting>
  <conditionalFormatting sqref="D32:E32">
    <cfRule type="expression" dxfId="103" priority="72" stopIfTrue="1">
      <formula>IF(AND(OR($D$26="Yes",$D$26=""),$D$32=""),1,0)</formula>
    </cfRule>
    <cfRule type="expression" dxfId="102" priority="159" stopIfTrue="1">
      <formula>$P$26=""</formula>
    </cfRule>
  </conditionalFormatting>
  <conditionalFormatting sqref="D34:E34">
    <cfRule type="expression" dxfId="99" priority="18" stopIfTrue="1">
      <formula>IF(AND(OR($D$28="Yes",$D$28=""),$D$34=""),1,0)</formula>
    </cfRule>
    <cfRule type="expression" dxfId="98" priority="19" stopIfTrue="1">
      <formula>$P$28=""</formula>
    </cfRule>
  </conditionalFormatting>
  <conditionalFormatting sqref="D35:E35">
    <cfRule type="expression" dxfId="97" priority="56" stopIfTrue="1">
      <formula>IF(AND(OR($D$29="Yes",$D$29=""),$D$35=""),1,0)</formula>
    </cfRule>
    <cfRule type="expression" dxfId="96" priority="180" stopIfTrue="1">
      <formula>$P$29=""</formula>
    </cfRule>
  </conditionalFormatting>
  <conditionalFormatting sqref="D38:E38 D44:E44 D50:E50 D56:E56 D62:E62 D68:E68">
    <cfRule type="expression" dxfId="95" priority="35" stopIfTrue="1">
      <formula>$P$26=""</formula>
    </cfRule>
    <cfRule type="expression" dxfId="94" priority="36" stopIfTrue="1">
      <formula>$P$32=""</formula>
    </cfRule>
  </conditionalFormatting>
  <conditionalFormatting sqref="D38:E38">
    <cfRule type="expression" dxfId="93" priority="71" stopIfTrue="1">
      <formula>IF(AND(OR($D$26="Yes",$D$26=""),OR($D$32="Yes",$D$32=""),D38=""),1,0)</formula>
    </cfRule>
  </conditionalFormatting>
  <conditionalFormatting sqref="D39:E39 D45:E45 D51:E51 D57:E57 D63:E63 D69:E69">
    <cfRule type="expression" dxfId="92" priority="29" stopIfTrue="1">
      <formula>$P$33=""</formula>
    </cfRule>
    <cfRule type="expression" dxfId="91" priority="30" stopIfTrue="1">
      <formula>$P$39=""</formula>
    </cfRule>
  </conditionalFormatting>
  <conditionalFormatting sqref="D39:E39">
    <cfRule type="expression" dxfId="90" priority="67" stopIfTrue="1">
      <formula>IF(AND(OR($D$27="Yes",$D$27=""),OR($D$33="Yes",$D$33=""),D39=""),1,0)</formula>
    </cfRule>
  </conditionalFormatting>
  <conditionalFormatting sqref="D40:E40 D46:E46 D52:E52 D58:E58 D64:E64 D70:E70">
    <cfRule type="expression" dxfId="89" priority="24" stopIfTrue="1">
      <formula>$P$28=""</formula>
    </cfRule>
    <cfRule type="expression" dxfId="88" priority="25" stopIfTrue="1">
      <formula>$P$34=""</formula>
    </cfRule>
  </conditionalFormatting>
  <conditionalFormatting sqref="D40:E40">
    <cfRule type="expression" dxfId="87" priority="66" stopIfTrue="1">
      <formula>IF(AND(OR($D$28="Yes",$D$28=""),OR($D$34="Yes",$D$34=""),D40=""),1,0)</formula>
    </cfRule>
  </conditionalFormatting>
  <conditionalFormatting sqref="D41:E41 D47:E47 D53:E53 D59:E59 D65:E65 D71:E71">
    <cfRule type="expression" dxfId="86" priority="20" stopIfTrue="1">
      <formula>$P$29=""</formula>
    </cfRule>
    <cfRule type="expression" dxfId="85" priority="21" stopIfTrue="1">
      <formula>$P$35=""</formula>
    </cfRule>
  </conditionalFormatting>
  <conditionalFormatting sqref="D41:E41">
    <cfRule type="expression" dxfId="84" priority="182" stopIfTrue="1">
      <formula>IF(AND(OR($D$29="Yes",$D$29=""),OR($D$35="Yes",$D$35=""),D41=""),1,0)</formula>
    </cfRule>
  </conditionalFormatting>
  <conditionalFormatting sqref="D44:E44">
    <cfRule type="expression" dxfId="83" priority="70" stopIfTrue="1">
      <formula>IF(AND(OR($D$26="Yes",$D$26=""),OR($D$32="Yes",$D$32=""),D44=""),1,0)</formula>
    </cfRule>
  </conditionalFormatting>
  <conditionalFormatting sqref="D45:E45">
    <cfRule type="expression" dxfId="82" priority="32" stopIfTrue="1">
      <formula>IF(AND(OR($D$27="Yes",$D$27=""),OR($D$33="Yes",$D$33=""),D45=""),1,0)</formula>
    </cfRule>
  </conditionalFormatting>
  <conditionalFormatting sqref="D46:E46">
    <cfRule type="expression" dxfId="81" priority="57" stopIfTrue="1">
      <formula>IF(AND(OR($D$28="Yes",$D$28=""),OR($D$34="Yes",$D$34=""),D46=""),1,0)</formula>
    </cfRule>
  </conditionalFormatting>
  <conditionalFormatting sqref="D47:E47">
    <cfRule type="expression" dxfId="80" priority="65" stopIfTrue="1">
      <formula>IF(AND(OR($D$29="Yes",$D$29=""),OR($D$35="Yes",$D$35=""),D47=""),1,0)</formula>
    </cfRule>
  </conditionalFormatting>
  <conditionalFormatting sqref="D50:E50">
    <cfRule type="expression" dxfId="79" priority="38" stopIfTrue="1">
      <formula>IF(AND(OR($D$26="Yes",$D$26=""),OR($D$32="Yes",$D$32=""),D50=""),1,0)</formula>
    </cfRule>
  </conditionalFormatting>
  <conditionalFormatting sqref="D51:E51">
    <cfRule type="expression" dxfId="78" priority="177" stopIfTrue="1">
      <formula>IF(AND(OR($D$27="Yes",$D$27=""),OR($D$33="Yes",$D$33=""),D51=""),1,0)</formula>
    </cfRule>
  </conditionalFormatting>
  <conditionalFormatting sqref="D52:E52">
    <cfRule type="expression" dxfId="77" priority="28" stopIfTrue="1">
      <formula>IF(AND(OR($D$28="Yes",$D$28=""),OR($D$34="Yes",$D$34=""),D52=""),1,0)</formula>
    </cfRule>
  </conditionalFormatting>
  <conditionalFormatting sqref="D53:E53">
    <cfRule type="expression" dxfId="76" priority="51" stopIfTrue="1">
      <formula>IF(AND(OR($D$29="Yes",$D$29=""),OR($D$35="Yes",$D$35=""),D53=""),1,0)</formula>
    </cfRule>
  </conditionalFormatting>
  <conditionalFormatting sqref="D56:E56">
    <cfRule type="expression" dxfId="75" priority="46" stopIfTrue="1">
      <formula>IF(AND(OR($D$26="Yes",$D$26=""),OR($D$32="Yes",$D$32=""),D56=""),1,0)</formula>
    </cfRule>
  </conditionalFormatting>
  <conditionalFormatting sqref="D57:E57">
    <cfRule type="expression" dxfId="74" priority="34" stopIfTrue="1">
      <formula>IF(AND(OR($D$27="Yes",$D$27=""),OR($D$33="Yes",$D$33=""),D57=""),1,0)</formula>
    </cfRule>
  </conditionalFormatting>
  <conditionalFormatting sqref="D58:E58">
    <cfRule type="expression" dxfId="73" priority="27" stopIfTrue="1">
      <formula>IF(AND(OR($D$28="Yes",$D$28=""),OR($D$34="Yes",$D$34=""),D58=""),1,0)</formula>
    </cfRule>
  </conditionalFormatting>
  <conditionalFormatting sqref="D59:E59">
    <cfRule type="expression" dxfId="72" priority="23" stopIfTrue="1">
      <formula>IF(AND(OR($D$29="Yes",$D$29=""),OR($D$35="Yes",$D$35=""),D59=""),1,0)</formula>
    </cfRule>
  </conditionalFormatting>
  <conditionalFormatting sqref="D62:E62">
    <cfRule type="expression" dxfId="71" priority="45" stopIfTrue="1">
      <formula>IF(AND(OR($D$26="Yes",$D$26=""),OR($D$32="Yes",$D$32=""),D62=""),1,0)</formula>
    </cfRule>
  </conditionalFormatting>
  <conditionalFormatting sqref="D63:E63">
    <cfRule type="expression" dxfId="70" priority="31" stopIfTrue="1">
      <formula>IF(AND(OR($D$27="Yes",$D$27=""),OR($D$33="Yes",$D$33=""),D63=""),1,0)</formula>
    </cfRule>
  </conditionalFormatting>
  <conditionalFormatting sqref="D64:E64">
    <cfRule type="expression" dxfId="69" priority="26" stopIfTrue="1">
      <formula>IF(AND(OR($D$28="Yes",$D$28=""),OR($D$34="Yes",$D$34=""),D64=""),1,0)</formula>
    </cfRule>
  </conditionalFormatting>
  <conditionalFormatting sqref="D65:E65">
    <cfRule type="expression" dxfId="68" priority="22" stopIfTrue="1">
      <formula>IF(AND(OR($D$29="Yes",$D$29=""),OR($D$35="Yes",$D$35=""),D65=""),1,0)</formula>
    </cfRule>
  </conditionalFormatting>
  <conditionalFormatting sqref="D68:E68">
    <cfRule type="expression" dxfId="67" priority="37" stopIfTrue="1">
      <formula>IF(AND(OR($D$26="Yes",$D$26=""),OR($D$32="Yes",$D$32=""),D68=""),1,0)</formula>
    </cfRule>
  </conditionalFormatting>
  <conditionalFormatting sqref="D69:E69">
    <cfRule type="expression" dxfId="66" priority="33" stopIfTrue="1">
      <formula>IF(AND(OR($D$27="Yes",$D$27=""),OR($D$33="Yes",$D$33=""),D69=""),1,0)</formula>
    </cfRule>
  </conditionalFormatting>
  <conditionalFormatting sqref="D70:E70">
    <cfRule type="expression" dxfId="65" priority="179" stopIfTrue="1">
      <formula>IF(AND(OR($D$28="Yes",$D$28=""),OR($D$34="Yes",$D$34=""),D70=""),1,0)</formula>
    </cfRule>
  </conditionalFormatting>
  <conditionalFormatting sqref="D71:E71">
    <cfRule type="expression" dxfId="64" priority="181" stopIfTrue="1">
      <formula>IF(AND(OR($D$29="Yes",$D$29=""),OR($D$35="Yes",$D$35=""),D71=""),1,0)</formula>
    </cfRule>
  </conditionalFormatting>
  <conditionalFormatting sqref="D75:E75 D77:E77 D79:E79 D81:E81 D83 D85:E85 D87:E87 D89:E89">
    <cfRule type="expression" dxfId="63" priority="102" stopIfTrue="1">
      <formula>AND(OR($D$26="No",AND($D$26="Yes",$D$32="No")),OR($D$27="No",AND($D$27="Yes",$D$33="No")),OR($D$28="No",AND($D$28="Yes",$D$34="No")),OR($D$29="No",AND($D$29="Yes",$D$35="No")))</formula>
    </cfRule>
    <cfRule type="expression" dxfId="62" priority="103" stopIfTrue="1">
      <formula>IF(D75="",TRUE)</formula>
    </cfRule>
  </conditionalFormatting>
  <conditionalFormatting sqref="G85:J85">
    <cfRule type="expression" dxfId="51" priority="64" stopIfTrue="1">
      <formula>IF(AND($D$85="Yes, using other format (describe)",$G$85=""),TRUE)</formula>
    </cfRule>
  </conditionalFormatting>
  <conditionalFormatting sqref="D8:J8">
    <cfRule type="expression" dxfId="28" priority="17" stopIfTrue="1">
      <formula>IF($D$8="",TRUE)</formula>
    </cfRule>
  </conditionalFormatting>
  <conditionalFormatting sqref="D9:G9">
    <cfRule type="expression" dxfId="27" priority="16" stopIfTrue="1">
      <formula>IF($D$9="",TRUE)</formula>
    </cfRule>
  </conditionalFormatting>
  <conditionalFormatting sqref="D10:J10">
    <cfRule type="expression" dxfId="24" priority="14" stopIfTrue="1">
      <formula>IF($D$9=$Q$9,TRUE)</formula>
    </cfRule>
    <cfRule type="expression" dxfId="23" priority="15" stopIfTrue="1">
      <formula>IF(AND($D$10="",$D$9=$R$9),TRUE)</formula>
    </cfRule>
  </conditionalFormatting>
  <conditionalFormatting sqref="D15:J15">
    <cfRule type="expression" dxfId="22" priority="10" stopIfTrue="1">
      <formula>IF($D$15="",TRUE)</formula>
    </cfRule>
  </conditionalFormatting>
  <conditionalFormatting sqref="D16:J16">
    <cfRule type="expression" dxfId="21" priority="11" stopIfTrue="1">
      <formula>IF($D$16="",TRUE)</formula>
    </cfRule>
  </conditionalFormatting>
  <conditionalFormatting sqref="D17:J17">
    <cfRule type="expression" dxfId="20" priority="12" stopIfTrue="1">
      <formula>IF($D$17="",TRUE)</formula>
    </cfRule>
  </conditionalFormatting>
  <conditionalFormatting sqref="D18:J18">
    <cfRule type="expression" dxfId="19" priority="13" stopIfTrue="1">
      <formula>IF($D$18="",TRUE)</formula>
    </cfRule>
  </conditionalFormatting>
  <conditionalFormatting sqref="D20:J20">
    <cfRule type="expression" dxfId="18" priority="8" stopIfTrue="1">
      <formula>IF($D$20="",TRUE)</formula>
    </cfRule>
  </conditionalFormatting>
  <conditionalFormatting sqref="D21:J21">
    <cfRule type="expression" dxfId="17" priority="9" stopIfTrue="1">
      <formula>IF($D$21="",TRUE)</formula>
    </cfRule>
  </conditionalFormatting>
  <conditionalFormatting sqref="D26:E26">
    <cfRule type="expression" dxfId="16" priority="4" stopIfTrue="1">
      <formula>IF($D$26="",TRUE)</formula>
    </cfRule>
  </conditionalFormatting>
  <conditionalFormatting sqref="D27:E27">
    <cfRule type="expression" dxfId="15" priority="5" stopIfTrue="1">
      <formula>IF($D$27="",TRUE)</formula>
    </cfRule>
  </conditionalFormatting>
  <conditionalFormatting sqref="D28:E28">
    <cfRule type="expression" dxfId="14" priority="6" stopIfTrue="1">
      <formula>IF($D$28="",TRUE)</formula>
    </cfRule>
  </conditionalFormatting>
  <conditionalFormatting sqref="D29:E29">
    <cfRule type="expression" dxfId="13" priority="7" stopIfTrue="1">
      <formula>IF($D$29="",TRUE)</formula>
    </cfRule>
  </conditionalFormatting>
  <conditionalFormatting sqref="D33:E33">
    <cfRule type="expression" dxfId="12" priority="2" stopIfTrue="1">
      <formula>IF(AND(OR($D$27="Yes",$D$27=""),$D$33=""),1,0)</formula>
    </cfRule>
    <cfRule type="expression" dxfId="11" priority="3" stopIfTrue="1">
      <formula>$P$27=""</formula>
    </cfRule>
  </conditionalFormatting>
  <conditionalFormatting sqref="G77:J77">
    <cfRule type="expression" dxfId="10" priority="1" stopIfTrue="1">
      <formula>IF(AND($D$71="Yes",$G$71=""),TRUE)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66" t="str">
        <f ca="1">OFFSET(L!$C$1,MATCH("Smelter List"&amp;ADDRESS(ROW(),COLUMN(),4),L!$A:$A,0)-1,SL,,)</f>
        <v>Link to "RMAP Conformant Smelter List"</v>
      </c>
      <c r="K2" s="367"/>
      <c r="L2" s="367"/>
      <c r="M2" s="367"/>
      <c r="N2" s="367"/>
      <c r="O2" s="367"/>
      <c r="P2" s="195"/>
      <c r="Q2" s="196"/>
      <c r="R2" s="197"/>
      <c r="S2" s="197"/>
      <c r="T2" s="197"/>
      <c r="AH2" s="145" t="s">
        <v>488</v>
      </c>
    </row>
    <row r="3" spans="1:34" s="221" customFormat="1" ht="173.45" customHeight="1">
      <c r="A3" s="171"/>
      <c r="B3" s="3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68"/>
      <c r="D3" s="368"/>
      <c r="E3" s="368"/>
      <c r="F3" s="222"/>
      <c r="G3" s="369" t="str">
        <f ca="1">OFFSET(L!$C$1,MATCH("General"&amp;"Cpy",L!$A:$A,0)-1,SL,,)</f>
        <v>© 2023 Responsible Minerals Initiative. All rights reserved.</v>
      </c>
      <c r="H3" s="369"/>
      <c r="I3" s="37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181" t="s">
        <v>764</v>
      </c>
      <c r="B5" s="182" t="s">
        <v>1126</v>
      </c>
      <c r="C5" s="393" t="s">
        <v>838</v>
      </c>
      <c r="D5" s="182" t="s">
        <v>838</v>
      </c>
      <c r="E5" s="182" t="s">
        <v>2430</v>
      </c>
      <c r="F5" s="182" t="s">
        <v>764</v>
      </c>
      <c r="G5" s="182" t="s">
        <v>15809</v>
      </c>
      <c r="H5" s="394">
        <v>0</v>
      </c>
      <c r="I5" s="395" t="s">
        <v>1769</v>
      </c>
      <c r="J5" s="395" t="s">
        <v>1769</v>
      </c>
      <c r="K5" s="224"/>
      <c r="L5" s="224"/>
      <c r="M5" s="224"/>
      <c r="N5" s="224"/>
      <c r="O5" s="224"/>
      <c r="P5" s="185"/>
      <c r="Q5" s="225"/>
      <c r="R5" s="182" t="str">
        <f ca="1">IF(ISERROR($V5),"",OFFSET('Smelter Look-up'!$C$4,$V5-4,0)&amp;"")</f>
        <v>EM Vinto</v>
      </c>
      <c r="S5" s="181" t="str">
        <f t="shared" ref="S5" ca="1" si="0">IF(B5="","",IF(ISERROR(MATCH($E5,CL,0)),"Unknown",INDIRECT("'C'!$A$"&amp;MATCH($E5,CL,0)+1)))</f>
        <v>BO</v>
      </c>
      <c r="T5" s="181" t="str">
        <f ca="1">IF(B5="","",IF(ISERROR(MATCH($J5,SorP!$B$1:$B$6279,0)),"",INDIRECT("'SorP'!$A$"&amp;MATCH($S5&amp;$J5,SorP!C:C,0))))</f>
        <v>BO-O</v>
      </c>
      <c r="U5" s="201"/>
      <c r="V5" s="226">
        <f>IF(C5="",NA(),IF(OR(C5="Smelter not listed",C5="Smelter not yet identified"),MATCH($B5&amp;$D5,'Smelter Look-up'!$J:$J,0),MATCH($B5&amp;$C5,'Smelter Look-up'!$J:$J,0)))</f>
        <v>421</v>
      </c>
      <c r="X5" s="227">
        <f t="shared" ref="X5" si="1">IF(AND(C5="Smelter not listed",OR(LEN(D5)=0,LEN(E5)=0)),1,0)</f>
        <v>0</v>
      </c>
      <c r="AB5" s="228" t="str">
        <f t="shared" ref="AB5" si="2">B5&amp;C5</f>
        <v>TinEM Vinto</v>
      </c>
    </row>
    <row r="6" spans="1:34" s="227" customFormat="1" ht="19.899999999999999" customHeight="1">
      <c r="A6" s="181" t="s">
        <v>766</v>
      </c>
      <c r="B6" s="182" t="s">
        <v>1126</v>
      </c>
      <c r="C6" s="393" t="s">
        <v>811</v>
      </c>
      <c r="D6" s="182" t="s">
        <v>811</v>
      </c>
      <c r="E6" s="182" t="s">
        <v>878</v>
      </c>
      <c r="F6" s="182" t="s">
        <v>766</v>
      </c>
      <c r="G6" s="182" t="s">
        <v>15809</v>
      </c>
      <c r="H6" s="394">
        <v>0</v>
      </c>
      <c r="I6" s="395" t="s">
        <v>1771</v>
      </c>
      <c r="J6" s="395" t="s">
        <v>9501</v>
      </c>
      <c r="K6" s="224"/>
      <c r="L6" s="224"/>
      <c r="M6" s="224"/>
      <c r="N6" s="224"/>
      <c r="O6" s="224"/>
      <c r="P6" s="185"/>
      <c r="Q6" s="225"/>
      <c r="R6" s="182" t="str">
        <f ca="1">IF(ISERROR($V6),"",OFFSET('Smelter Look-up'!$C$4,$V6-4,0)&amp;"")</f>
        <v>Fenix Metals</v>
      </c>
      <c r="S6" s="181" t="str">
        <f t="shared" ref="S6:S37" ca="1" si="3">IF(B6="","",IF(ISERROR(MATCH($E6,CL,0)),"Unknown",INDIRECT("'C'!$A$"&amp;MATCH($E6,CL,0)+1)))</f>
        <v>PL</v>
      </c>
      <c r="T6" s="181" t="str">
        <f ca="1">IF(B6="","",IF(ISERROR(MATCH($J6,SorP!$B$1:$B$6279,0)),"",INDIRECT("'SorP'!$A$"&amp;MATCH($S6&amp;$J6,SorP!C:C,0))))</f>
        <v>PL-18</v>
      </c>
      <c r="U6" s="201"/>
      <c r="V6" s="226">
        <f>IF(C6="",NA(),IF(OR(C6="Smelter not listed",C6="Smelter not yet identified"),MATCH($B6&amp;$D6,'Smelter Look-up'!$J:$J,0),MATCH($B6&amp;$C6,'Smelter Look-up'!$J:$J,0)))</f>
        <v>430</v>
      </c>
      <c r="X6" s="227">
        <f t="shared" ref="X6:X37" si="4">IF(AND(C6="Smelter not listed",OR(LEN(D6)=0,LEN(E6)=0)),1,0)</f>
        <v>0</v>
      </c>
      <c r="AB6" s="228" t="str">
        <f t="shared" ref="AB6:AB37" si="5">B6&amp;C6</f>
        <v>TinFenix Metals</v>
      </c>
    </row>
    <row r="7" spans="1:34" s="227" customFormat="1" ht="19.899999999999999" customHeight="1">
      <c r="A7" s="181" t="s">
        <v>767</v>
      </c>
      <c r="B7" s="182" t="s">
        <v>1126</v>
      </c>
      <c r="C7" s="393" t="s">
        <v>2144</v>
      </c>
      <c r="D7" s="182" t="s">
        <v>2144</v>
      </c>
      <c r="E7" s="182" t="s">
        <v>1096</v>
      </c>
      <c r="F7" s="182" t="s">
        <v>767</v>
      </c>
      <c r="G7" s="182" t="s">
        <v>15809</v>
      </c>
      <c r="H7" s="394">
        <v>0</v>
      </c>
      <c r="I7" s="395" t="s">
        <v>2446</v>
      </c>
      <c r="J7" s="395" t="s">
        <v>13628</v>
      </c>
      <c r="K7" s="224"/>
      <c r="L7" s="224"/>
      <c r="M7" s="224"/>
      <c r="N7" s="224"/>
      <c r="O7" s="224"/>
      <c r="P7" s="185"/>
      <c r="Q7" s="225"/>
      <c r="R7" s="182" t="str">
        <f ca="1">IF(ISERROR($V7),"",OFFSET('Smelter Look-up'!$C$4,$V7-4,0)&amp;"")</f>
        <v>Gejiu Non-Ferrous Metal Processing Co., Ltd.</v>
      </c>
      <c r="S7" s="181" t="str">
        <f t="shared" ca="1" si="3"/>
        <v>CN</v>
      </c>
      <c r="T7" s="181" t="str">
        <f ca="1">IF(B7="","",IF(ISERROR(MATCH($J7,SorP!$B$1:$B$6279,0)),"",INDIRECT("'SorP'!$A$"&amp;MATCH($S7&amp;$J7,SorP!C:C,0))))</f>
        <v>CN-YN</v>
      </c>
      <c r="U7" s="201"/>
      <c r="V7" s="226">
        <f>IF(C7="",NA(),IF(OR(C7="Smelter not listed",C7="Smelter not yet identified"),MATCH($B7&amp;$D7,'Smelter Look-up'!$J:$J,0),MATCH($B7&amp;$C7,'Smelter Look-up'!$J:$J,0)))</f>
        <v>436</v>
      </c>
      <c r="X7" s="227">
        <f t="shared" si="4"/>
        <v>0</v>
      </c>
      <c r="AB7" s="228" t="str">
        <f t="shared" si="5"/>
        <v>TinGejiu Non-Ferrous Metal Processing Co., Ltd.</v>
      </c>
    </row>
    <row r="8" spans="1:34" s="227" customFormat="1" ht="19.899999999999999" customHeight="1">
      <c r="A8" s="181" t="s">
        <v>772</v>
      </c>
      <c r="B8" s="182" t="s">
        <v>1126</v>
      </c>
      <c r="C8" s="393" t="s">
        <v>1029</v>
      </c>
      <c r="D8" s="182" t="s">
        <v>1029</v>
      </c>
      <c r="E8" s="182" t="s">
        <v>1092</v>
      </c>
      <c r="F8" s="182" t="s">
        <v>772</v>
      </c>
      <c r="G8" s="182" t="s">
        <v>15809</v>
      </c>
      <c r="H8" s="394">
        <v>0</v>
      </c>
      <c r="I8" s="395" t="s">
        <v>1783</v>
      </c>
      <c r="J8" s="395" t="s">
        <v>1674</v>
      </c>
      <c r="K8" s="224"/>
      <c r="L8" s="224"/>
      <c r="M8" s="224"/>
      <c r="N8" s="224"/>
      <c r="O8" s="224"/>
      <c r="P8" s="185"/>
      <c r="Q8" s="225"/>
      <c r="R8" s="182" t="str">
        <f ca="1">IF(ISERROR($V8),"",OFFSET('Smelter Look-up'!$C$4,$V8-4,0)&amp;"")</f>
        <v>Mineracao Taboca S.A.</v>
      </c>
      <c r="S8" s="181" t="str">
        <f t="shared" ca="1" si="3"/>
        <v>BR</v>
      </c>
      <c r="T8" s="181" t="str">
        <f ca="1">IF(B8="","",IF(ISERROR(MATCH($J8,SorP!$B$1:$B$6279,0)),"",INDIRECT("'SorP'!$A$"&amp;MATCH($S8&amp;$J8,SorP!C:C,0))))</f>
        <v>BR-SP</v>
      </c>
      <c r="U8" s="201"/>
      <c r="V8" s="226">
        <f>IF(C8="",NA(),IF(OR(C8="Smelter not listed",C8="Smelter not yet identified"),MATCH($B8&amp;$D8,'Smelter Look-up'!$J:$J,0),MATCH($B8&amp;$C8,'Smelter Look-up'!$J:$J,0)))</f>
        <v>466</v>
      </c>
      <c r="X8" s="227">
        <f t="shared" si="4"/>
        <v>0</v>
      </c>
      <c r="AB8" s="228" t="str">
        <f t="shared" si="5"/>
        <v>TinMineração Taboca S.A.</v>
      </c>
    </row>
    <row r="9" spans="1:34" s="227" customFormat="1" ht="19.899999999999999" customHeight="1">
      <c r="A9" s="181" t="s">
        <v>773</v>
      </c>
      <c r="B9" s="182" t="s">
        <v>1126</v>
      </c>
      <c r="C9" s="393" t="s">
        <v>1030</v>
      </c>
      <c r="D9" s="182" t="s">
        <v>1030</v>
      </c>
      <c r="E9" s="182" t="s">
        <v>876</v>
      </c>
      <c r="F9" s="182" t="s">
        <v>773</v>
      </c>
      <c r="G9" s="182" t="s">
        <v>15809</v>
      </c>
      <c r="H9" s="394">
        <v>0</v>
      </c>
      <c r="I9" s="395" t="s">
        <v>1785</v>
      </c>
      <c r="J9" s="395" t="s">
        <v>9115</v>
      </c>
      <c r="K9" s="224"/>
      <c r="L9" s="224"/>
      <c r="M9" s="224"/>
      <c r="N9" s="224"/>
      <c r="O9" s="224"/>
      <c r="P9" s="185"/>
      <c r="Q9" s="225"/>
      <c r="R9" s="182" t="str">
        <f ca="1">IF(ISERROR($V9),"",OFFSET('Smelter Look-up'!$C$4,$V9-4,0)&amp;"")</f>
        <v>Minsur</v>
      </c>
      <c r="S9" s="181" t="str">
        <f t="shared" ca="1" si="3"/>
        <v>PE</v>
      </c>
      <c r="T9" s="181" t="str">
        <f ca="1">IF(B9="","",IF(ISERROR(MATCH($J9,SorP!$B$1:$B$6279,0)),"",INDIRECT("'SorP'!$A$"&amp;MATCH($S9&amp;$J9,SorP!C:C,0))))</f>
        <v>PE-ICA</v>
      </c>
      <c r="U9" s="201"/>
      <c r="V9" s="226">
        <f>IF(C9="",NA(),IF(OR(C9="Smelter not listed",C9="Smelter not yet identified"),MATCH($B9&amp;$D9,'Smelter Look-up'!$J:$J,0),MATCH($B9&amp;$C9,'Smelter Look-up'!$J:$J,0)))</f>
        <v>470</v>
      </c>
      <c r="X9" s="227">
        <f t="shared" si="4"/>
        <v>0</v>
      </c>
      <c r="AB9" s="228" t="str">
        <f t="shared" si="5"/>
        <v>TinMinsur</v>
      </c>
    </row>
    <row r="10" spans="1:34" s="227" customFormat="1" ht="19.899999999999999" customHeight="1">
      <c r="A10" s="181" t="s">
        <v>778</v>
      </c>
      <c r="B10" s="182" t="s">
        <v>1126</v>
      </c>
      <c r="C10" s="393" t="s">
        <v>840</v>
      </c>
      <c r="D10" s="182" t="s">
        <v>840</v>
      </c>
      <c r="E10" s="182" t="s">
        <v>1101</v>
      </c>
      <c r="F10" s="182" t="s">
        <v>778</v>
      </c>
      <c r="G10" s="182" t="s">
        <v>15809</v>
      </c>
      <c r="H10" s="394">
        <v>0</v>
      </c>
      <c r="I10" s="395" t="s">
        <v>1767</v>
      </c>
      <c r="J10" s="395" t="s">
        <v>12852</v>
      </c>
      <c r="K10" s="224"/>
      <c r="L10" s="224"/>
      <c r="M10" s="224"/>
      <c r="N10" s="224"/>
      <c r="O10" s="224"/>
      <c r="P10" s="185"/>
      <c r="Q10" s="225"/>
      <c r="R10" s="182" t="str">
        <f ca="1">IF(ISERROR($V10),"",OFFSET('Smelter Look-up'!$C$4,$V10-4,0)&amp;"")</f>
        <v>PT Artha Cipta Langgeng</v>
      </c>
      <c r="S10" s="181" t="str">
        <f t="shared" ca="1" si="3"/>
        <v>ID</v>
      </c>
      <c r="T10" s="181" t="str">
        <f ca="1">IF(B10="","",IF(ISERROR(MATCH($J10,SorP!$B$1:$B$6279,0)),"",INDIRECT("'SorP'!$A$"&amp;MATCH($S10&amp;$J10,SorP!C:C,0))))</f>
        <v>ID-BB</v>
      </c>
      <c r="U10" s="201"/>
      <c r="V10" s="226">
        <f>IF(C10="",NA(),IF(OR(C10="Smelter not listed",C10="Smelter not yet identified"),MATCH($B10&amp;$D10,'Smelter Look-up'!$J:$J,0),MATCH($B10&amp;$C10,'Smelter Look-up'!$J:$J,0)))</f>
        <v>487</v>
      </c>
      <c r="X10" s="227">
        <f t="shared" si="4"/>
        <v>0</v>
      </c>
      <c r="AB10" s="228" t="str">
        <f t="shared" si="5"/>
        <v>TinPT Artha Cipta Langgeng</v>
      </c>
    </row>
    <row r="11" spans="1:34" s="227" customFormat="1" ht="19.899999999999999" customHeight="1">
      <c r="A11" s="181" t="s">
        <v>779</v>
      </c>
      <c r="B11" s="182" t="s">
        <v>1126</v>
      </c>
      <c r="C11" s="393" t="s">
        <v>627</v>
      </c>
      <c r="D11" s="182" t="s">
        <v>627</v>
      </c>
      <c r="E11" s="182" t="s">
        <v>1101</v>
      </c>
      <c r="F11" s="182" t="s">
        <v>779</v>
      </c>
      <c r="G11" s="182" t="s">
        <v>15809</v>
      </c>
      <c r="H11" s="394">
        <v>0</v>
      </c>
      <c r="I11" s="395" t="s">
        <v>1767</v>
      </c>
      <c r="J11" s="395" t="s">
        <v>12852</v>
      </c>
      <c r="K11" s="224"/>
      <c r="L11" s="224"/>
      <c r="M11" s="224"/>
      <c r="N11" s="224"/>
      <c r="O11" s="224"/>
      <c r="P11" s="185"/>
      <c r="Q11" s="225"/>
      <c r="R11" s="182" t="str">
        <f ca="1">IF(ISERROR($V11),"",OFFSET('Smelter Look-up'!$C$4,$V11-4,0)&amp;"")</f>
        <v>PT Mitra Stania Prima</v>
      </c>
      <c r="S11" s="181" t="str">
        <f t="shared" ca="1" si="3"/>
        <v>ID</v>
      </c>
      <c r="T11" s="181" t="str">
        <f ca="1">IF(B11="","",IF(ISERROR(MATCH($J11,SorP!$B$1:$B$6279,0)),"",INDIRECT("'SorP'!$A$"&amp;MATCH($S11&amp;$J11,SorP!C:C,0))))</f>
        <v>ID-BB</v>
      </c>
      <c r="U11" s="201"/>
      <c r="V11" s="226">
        <f>IF(C11="",NA(),IF(OR(C11="Smelter not listed",C11="Smelter not yet identified"),MATCH($B11&amp;$D11,'Smelter Look-up'!$J:$J,0),MATCH($B11&amp;$C11,'Smelter Look-up'!$J:$J,0)))</f>
        <v>500</v>
      </c>
      <c r="X11" s="227">
        <f t="shared" si="4"/>
        <v>0</v>
      </c>
      <c r="AB11" s="228" t="str">
        <f t="shared" si="5"/>
        <v>TinPT Mitra Stania Prima</v>
      </c>
    </row>
    <row r="12" spans="1:34" s="227" customFormat="1" ht="19.899999999999999" customHeight="1">
      <c r="A12" s="181" t="s">
        <v>780</v>
      </c>
      <c r="B12" s="182" t="s">
        <v>1126</v>
      </c>
      <c r="C12" s="393" t="s">
        <v>2157</v>
      </c>
      <c r="D12" s="182" t="s">
        <v>2157</v>
      </c>
      <c r="E12" s="182" t="s">
        <v>1101</v>
      </c>
      <c r="F12" s="182" t="s">
        <v>780</v>
      </c>
      <c r="G12" s="182" t="s">
        <v>15809</v>
      </c>
      <c r="H12" s="394">
        <v>0</v>
      </c>
      <c r="I12" s="395" t="s">
        <v>1767</v>
      </c>
      <c r="J12" s="395" t="s">
        <v>12852</v>
      </c>
      <c r="K12" s="224"/>
      <c r="L12" s="224"/>
      <c r="M12" s="224"/>
      <c r="N12" s="224"/>
      <c r="O12" s="224"/>
      <c r="P12" s="185"/>
      <c r="Q12" s="225"/>
      <c r="R12" s="182" t="str">
        <f ca="1">IF(ISERROR($V12),"",OFFSET('Smelter Look-up'!$C$4,$V12-4,0)&amp;"")</f>
        <v>PT Refined Bangka Tin</v>
      </c>
      <c r="S12" s="181" t="str">
        <f t="shared" ca="1" si="3"/>
        <v>ID</v>
      </c>
      <c r="T12" s="181" t="str">
        <f ca="1">IF(B12="","",IF(ISERROR(MATCH($J12,SorP!$B$1:$B$6279,0)),"",INDIRECT("'SorP'!$A$"&amp;MATCH($S12&amp;$J12,SorP!C:C,0))))</f>
        <v>ID-BB</v>
      </c>
      <c r="U12" s="201"/>
      <c r="V12" s="226">
        <f>IF(C12="",NA(),IF(OR(C12="Smelter not listed",C12="Smelter not yet identified"),MATCH($B12&amp;$D12,'Smelter Look-up'!$J:$J,0),MATCH($B12&amp;$C12,'Smelter Look-up'!$J:$J,0)))</f>
        <v>507</v>
      </c>
      <c r="X12" s="227">
        <f t="shared" si="4"/>
        <v>0</v>
      </c>
      <c r="AB12" s="228" t="str">
        <f t="shared" si="5"/>
        <v>TinPT Refined Bangka Tin</v>
      </c>
    </row>
    <row r="13" spans="1:34" s="227" customFormat="1" ht="19.899999999999999" customHeight="1">
      <c r="A13" s="181" t="s">
        <v>781</v>
      </c>
      <c r="B13" s="182" t="s">
        <v>1126</v>
      </c>
      <c r="C13" s="393" t="s">
        <v>15810</v>
      </c>
      <c r="D13" s="182" t="s">
        <v>15810</v>
      </c>
      <c r="E13" s="182" t="s">
        <v>1101</v>
      </c>
      <c r="F13" s="182" t="s">
        <v>781</v>
      </c>
      <c r="G13" s="182" t="s">
        <v>15809</v>
      </c>
      <c r="H13" s="394" t="s">
        <v>15811</v>
      </c>
      <c r="I13" s="395" t="s">
        <v>15811</v>
      </c>
      <c r="J13" s="395" t="s">
        <v>15811</v>
      </c>
      <c r="K13" s="224"/>
      <c r="L13" s="224"/>
      <c r="M13" s="224"/>
      <c r="N13" s="224"/>
      <c r="O13" s="224"/>
      <c r="P13" s="185"/>
      <c r="Q13" s="225"/>
      <c r="R13" s="182" t="str">
        <f ca="1">IF(ISERROR($V13),"",OFFSET('Smelter Look-up'!$C$4,$V13-4,0)&amp;"")</f>
        <v/>
      </c>
      <c r="S13" s="181" t="str">
        <f t="shared" ca="1" si="3"/>
        <v>ID</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si="4"/>
        <v>0</v>
      </c>
      <c r="AB13" s="228" t="str">
        <f t="shared" si="5"/>
        <v>TinPT Timah (Persero) Tbk Mentok</v>
      </c>
    </row>
    <row r="14" spans="1:34" s="227" customFormat="1" ht="19.899999999999999" customHeight="1">
      <c r="A14" s="181" t="s">
        <v>784</v>
      </c>
      <c r="B14" s="182" t="s">
        <v>1126</v>
      </c>
      <c r="C14" s="393" t="s">
        <v>1027</v>
      </c>
      <c r="D14" s="182" t="s">
        <v>1027</v>
      </c>
      <c r="E14" s="182" t="s">
        <v>884</v>
      </c>
      <c r="F14" s="182" t="s">
        <v>784</v>
      </c>
      <c r="G14" s="182" t="s">
        <v>15809</v>
      </c>
      <c r="H14" s="394">
        <v>0</v>
      </c>
      <c r="I14" s="395" t="s">
        <v>1795</v>
      </c>
      <c r="J14" s="395" t="s">
        <v>1796</v>
      </c>
      <c r="K14" s="224"/>
      <c r="L14" s="224"/>
      <c r="M14" s="224"/>
      <c r="N14" s="224"/>
      <c r="O14" s="224"/>
      <c r="P14" s="185"/>
      <c r="Q14" s="225"/>
      <c r="R14" s="182" t="str">
        <f ca="1">IF(ISERROR($V14),"",OFFSET('Smelter Look-up'!$C$4,$V14-4,0)&amp;"")</f>
        <v>Thaisarco</v>
      </c>
      <c r="S14" s="181" t="str">
        <f t="shared" ca="1" si="3"/>
        <v>TH</v>
      </c>
      <c r="T14" s="181" t="str">
        <f ca="1">IF(B14="","",IF(ISERROR(MATCH($J14,SorP!$B$1:$B$6279,0)),"",INDIRECT("'SorP'!$A$"&amp;MATCH($S14&amp;$J14,SorP!C:C,0))))</f>
        <v>TH-83</v>
      </c>
      <c r="U14" s="201"/>
      <c r="V14" s="226">
        <f>IF(C14="",NA(),IF(OR(C14="Smelter not listed",C14="Smelter not yet identified"),MATCH($B14&amp;$D14,'Smelter Look-up'!$J:$J,0),MATCH($B14&amp;$C14,'Smelter Look-up'!$J:$J,0)))</f>
        <v>526</v>
      </c>
      <c r="X14" s="227">
        <f t="shared" si="4"/>
        <v>0</v>
      </c>
      <c r="AB14" s="228" t="str">
        <f t="shared" si="5"/>
        <v>TinThaisarco</v>
      </c>
    </row>
    <row r="15" spans="1:34" s="227" customFormat="1" ht="19.899999999999999" customHeight="1">
      <c r="A15" s="181" t="s">
        <v>787</v>
      </c>
      <c r="B15" s="182" t="s">
        <v>1126</v>
      </c>
      <c r="C15" s="393" t="s">
        <v>2342</v>
      </c>
      <c r="D15" s="182" t="s">
        <v>2342</v>
      </c>
      <c r="E15" s="182" t="s">
        <v>1096</v>
      </c>
      <c r="F15" s="182" t="s">
        <v>787</v>
      </c>
      <c r="G15" s="182" t="s">
        <v>15809</v>
      </c>
      <c r="H15" s="394">
        <v>0</v>
      </c>
      <c r="I15" s="395" t="s">
        <v>2446</v>
      </c>
      <c r="J15" s="395" t="s">
        <v>13628</v>
      </c>
      <c r="K15" s="224"/>
      <c r="L15" s="224"/>
      <c r="M15" s="224"/>
      <c r="N15" s="224"/>
      <c r="O15" s="224"/>
      <c r="P15" s="185"/>
      <c r="Q15" s="225"/>
      <c r="R15" s="182" t="str">
        <f ca="1">IF(ISERROR($V15),"",OFFSET('Smelter Look-up'!$C$4,$V15-4,0)&amp;"")</f>
        <v>Tin Smelting Branch of Yunnan Tin Co., Ltd.</v>
      </c>
      <c r="S15" s="181" t="str">
        <f t="shared" ca="1" si="3"/>
        <v>CN</v>
      </c>
      <c r="T15" s="181" t="str">
        <f ca="1">IF(B15="","",IF(ISERROR(MATCH($J15,SorP!$B$1:$B$6279,0)),"",INDIRECT("'SorP'!$A$"&amp;MATCH($S15&amp;$J15,SorP!C:C,0))))</f>
        <v>CN-YN</v>
      </c>
      <c r="U15" s="201"/>
      <c r="V15" s="226">
        <f>IF(C15="",NA(),IF(OR(C15="Smelter not listed",C15="Smelter not yet identified"),MATCH($B15&amp;$D15,'Smelter Look-up'!$J:$J,0),MATCH($B15&amp;$C15,'Smelter Look-up'!$J:$J,0)))</f>
        <v>547</v>
      </c>
      <c r="X15" s="227">
        <f t="shared" si="4"/>
        <v>0</v>
      </c>
      <c r="AB15" s="228" t="str">
        <f t="shared" si="5"/>
        <v>TinYunnan Tin Company Limited</v>
      </c>
    </row>
    <row r="16" spans="1:34" s="227" customFormat="1" ht="19.899999999999999" customHeight="1">
      <c r="A16" s="181" t="s">
        <v>1815</v>
      </c>
      <c r="B16" s="182" t="s">
        <v>1126</v>
      </c>
      <c r="C16" s="393" t="s">
        <v>15812</v>
      </c>
      <c r="D16" s="182" t="s">
        <v>15812</v>
      </c>
      <c r="E16" s="182" t="s">
        <v>1091</v>
      </c>
      <c r="F16" s="182" t="s">
        <v>1815</v>
      </c>
      <c r="G16" s="182" t="s">
        <v>15809</v>
      </c>
      <c r="H16" s="394" t="s">
        <v>15811</v>
      </c>
      <c r="I16" s="395" t="s">
        <v>15811</v>
      </c>
      <c r="J16" s="395" t="s">
        <v>15811</v>
      </c>
      <c r="K16" s="224"/>
      <c r="L16" s="224"/>
      <c r="M16" s="224"/>
      <c r="N16" s="224"/>
      <c r="O16" s="224"/>
      <c r="P16" s="185"/>
      <c r="Q16" s="225"/>
      <c r="R16" s="182" t="str">
        <f ca="1">IF(ISERROR($V16),"",OFFSET('Smelter Look-up'!$C$4,$V16-4,0)&amp;"")</f>
        <v/>
      </c>
      <c r="S16" s="181" t="str">
        <f t="shared" ca="1" si="3"/>
        <v>BE</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si="4"/>
        <v>0</v>
      </c>
      <c r="AB16" s="228" t="str">
        <f t="shared" si="5"/>
        <v>TinMetallo-Chimique N.V.</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17:B2504">
    <cfRule type="expression" dxfId="50" priority="14" stopIfTrue="1">
      <formula>IF(B17="",TRUE)</formula>
    </cfRule>
    <cfRule type="expression" dxfId="49" priority="17" stopIfTrue="1">
      <formula>IF(AND(COUNTIF(MetalSmelter,B17&amp;C17)=0,LEN(C17)&gt;0),TRUE,FALSE)</formula>
    </cfRule>
  </conditionalFormatting>
  <conditionalFormatting sqref="C17:C2504">
    <cfRule type="expression" dxfId="48" priority="12" stopIfTrue="1">
      <formula>IF(AND(B17&lt;&gt;"",C17=""),TRUE)</formula>
    </cfRule>
  </conditionalFormatting>
  <conditionalFormatting sqref="D17:D2504">
    <cfRule type="expression" dxfId="47" priority="21" stopIfTrue="1">
      <formula>IF(AND(LEN($C17)&gt;0,AND($C17&lt;&gt;"Smelter Not Listed",ISBLANK($D17))),1,0)</formula>
    </cfRule>
    <cfRule type="expression" dxfId="46" priority="28" stopIfTrue="1">
      <formula>IF(AND(D17="",$C17=$X$4),TRUE)</formula>
    </cfRule>
    <cfRule type="expression" dxfId="45" priority="29" stopIfTrue="1">
      <formula>IF(FIND("!",D17),TRUE)</formula>
    </cfRule>
  </conditionalFormatting>
  <conditionalFormatting sqref="E17:E2504 R5:R2504">
    <cfRule type="expression" dxfId="44" priority="15" stopIfTrue="1">
      <formula>IF(AND(E5="",$C5=$X$4),TRUE)</formula>
    </cfRule>
    <cfRule type="expression" dxfId="43" priority="16" stopIfTrue="1">
      <formula>IF(FIND("!",E5),TRUE)</formula>
    </cfRule>
  </conditionalFormatting>
  <conditionalFormatting sqref="F17:F2504">
    <cfRule type="expression" dxfId="42" priority="13" stopIfTrue="1">
      <formula>IF(AND(LEN($A17)&gt;0,$A17&lt;&gt;$F17),TRUE,FALSE)</formula>
    </cfRule>
  </conditionalFormatting>
  <conditionalFormatting sqref="G17:G2504">
    <cfRule type="expression" dxfId="41" priority="30" stopIfTrue="1">
      <formula>IF(FIND("Enter smelter details",G17),TRUE)</formula>
    </cfRule>
  </conditionalFormatting>
  <conditionalFormatting sqref="G5:G16">
    <cfRule type="expression" dxfId="9" priority="10" stopIfTrue="1">
      <formula>IF(FIND("Enter smelter details",G5),TRUE)</formula>
    </cfRule>
  </conditionalFormatting>
  <conditionalFormatting sqref="F5:F16">
    <cfRule type="expression" dxfId="8" priority="9" stopIfTrue="1">
      <formula>IF(AND(LEN($A5)&gt;0,$A5&lt;&gt;$F5),TRUE,FALSE)</formula>
    </cfRule>
  </conditionalFormatting>
  <conditionalFormatting sqref="C5:C16">
    <cfRule type="expression" dxfId="7" priority="8" stopIfTrue="1">
      <formula>IF(AND(B5&lt;&gt;"",C5=""),TRUE)</formula>
    </cfRule>
  </conditionalFormatting>
  <conditionalFormatting sqref="B5:B16">
    <cfRule type="expression" dxfId="6" priority="2" stopIfTrue="1">
      <formula>IF(B5="",TRUE)</formula>
    </cfRule>
    <cfRule type="expression" dxfId="5" priority="5" stopIfTrue="1">
      <formula>IF(AND(COUNTIF(MetalSmelter,B5&amp;C5)=0,LEN(C5)&gt;0), TRUE, FALSE)</formula>
    </cfRule>
  </conditionalFormatting>
  <conditionalFormatting sqref="D5:D16">
    <cfRule type="expression" dxfId="4" priority="1" stopIfTrue="1">
      <formula>IF(AND(LEN($C5) &gt;0, ($C5 &lt;&gt; "Smelter Not Listed")),1,0)</formula>
    </cfRule>
    <cfRule type="expression" dxfId="3" priority="6" stopIfTrue="1">
      <formula>IF(AND(D5="",$C5=$X$4),TRUE)</formula>
    </cfRule>
    <cfRule type="expression" dxfId="2" priority="7" stopIfTrue="1">
      <formula>IF(FIND("!",D5),TRUE)</formula>
    </cfRule>
  </conditionalFormatting>
  <conditionalFormatting sqref="E5:E16">
    <cfRule type="expression" dxfId="1" priority="3" stopIfTrue="1">
      <formula>IF(AND(E5="",$C5=$X$4),TRUE)</formula>
    </cfRule>
    <cfRule type="expression" dxfId="0" priority="4" stopIfTrue="1">
      <formula>IF(FIND("!",E5),TRUE)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71" t="str">
        <f ca="1">OFFSET(L!$C$1,MATCH("Checker"&amp;ADDRESS(ROW(),COLUMN(),4),L!$A:$A,0)-1,SL,,)</f>
        <v>To ensure all required fields have been populated before submitting to your customers review form for any line items highlighted in red</v>
      </c>
      <c r="B1" s="371"/>
      <c r="C1" s="371"/>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Formers (UK) Limited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 Company-wide</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Brad Miles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brad@formers.co.uk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0044 1162336600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Andy Verster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andy@formers.co.uk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45386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www.formers.co.uk/material-specifications/conflict-mineral-statement/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0" priority="347" stopIfTrue="1">
      <formula>$F4=0</formula>
    </cfRule>
    <cfRule type="expression" dxfId="39" priority="348" stopIfTrue="1">
      <formula>$H4=0</formula>
    </cfRule>
    <cfRule type="expression" dxfId="38" priority="349" stopIfTrue="1">
      <formula>$H4=1</formula>
    </cfRule>
  </conditionalFormatting>
  <conditionalFormatting sqref="A5:A13">
    <cfRule type="expression" dxfId="37" priority="49" stopIfTrue="1">
      <formula>$F5=0</formula>
    </cfRule>
    <cfRule type="expression" dxfId="36" priority="50" stopIfTrue="1">
      <formula>AND($F5=1,$G5=0)</formula>
    </cfRule>
    <cfRule type="expression" dxfId="35" priority="51" stopIfTrue="1">
      <formula>AND($F5&lt;&gt;0,$G5&lt;&gt;0)</formula>
    </cfRule>
  </conditionalFormatting>
  <conditionalFormatting sqref="A29:A32">
    <cfRule type="expression" dxfId="34" priority="2" stopIfTrue="1">
      <formula>$F29=0</formula>
    </cfRule>
    <cfRule type="expression" dxfId="33" priority="3" stopIfTrue="1">
      <formula>$H29=0</formula>
    </cfRule>
    <cfRule type="expression" dxfId="32" priority="4" stopIfTrue="1">
      <formula>$H29=1</formula>
    </cfRule>
  </conditionalFormatting>
  <conditionalFormatting sqref="B65:B69">
    <cfRule type="expression" dxfId="31" priority="1" stopIfTrue="1">
      <formula>IF(F65=0,TRUE)</formula>
    </cfRule>
  </conditionalFormatting>
  <conditionalFormatting sqref="D56">
    <cfRule type="expression" dxfId="30"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73" t="str">
        <f ca="1">OFFSET(L!$C$1,MATCH("Product List"&amp;ADDRESS(ROW(),COLUMN(),4),L!$A:$A,0)-1,SL,,)</f>
        <v>Completion required only if reporting level "Product (or List of Products)" selected on the 'Declaration' worksheet.</v>
      </c>
      <c r="B1" s="374"/>
      <c r="C1" s="374"/>
      <c r="D1" s="37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72" t="s">
        <v>894</v>
      </c>
      <c r="C4" s="372"/>
      <c r="D4" s="37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75" t="str">
        <f ca="1">OFFSET(L!$C$1,MATCH("General"&amp;"Cpy",L!$A:$A,0)-1,SL,,)</f>
        <v>© 2023 Responsible Minerals Initiative. All rights reserved.</v>
      </c>
      <c r="C2006" s="375"/>
      <c r="D2006" s="375"/>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7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76"/>
      <c r="C1" s="376"/>
      <c r="D1" s="376"/>
      <c r="E1" s="376"/>
      <c r="F1" s="376"/>
      <c r="G1" s="376"/>
    </row>
    <row r="2" spans="1:11">
      <c r="A2" s="377"/>
      <c r="B2" s="377"/>
      <c r="C2" s="377"/>
      <c r="D2" s="377"/>
      <c r="E2" s="377"/>
      <c r="F2" s="377"/>
      <c r="G2" s="377"/>
      <c r="H2" s="377"/>
      <c r="I2" s="377"/>
    </row>
    <row r="3" spans="1:11">
      <c r="A3" s="377"/>
      <c r="B3" s="377"/>
      <c r="C3" s="377"/>
      <c r="D3" s="377"/>
      <c r="E3" s="377"/>
      <c r="F3" s="377"/>
      <c r="G3" s="377"/>
      <c r="H3" s="377"/>
      <c r="I3" s="37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29"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Brad</cp:lastModifiedBy>
  <cp:lastPrinted>2015-04-21T20:47:43Z</cp:lastPrinted>
  <dcterms:created xsi:type="dcterms:W3CDTF">2010-06-21T21:00:23Z</dcterms:created>
  <dcterms:modified xsi:type="dcterms:W3CDTF">2024-04-04T10:08:32Z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